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ml.chartshapes+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3D1A710C-6663-3D7B-7F91-EC182F24A4BC}"/>
  <workbookPr showInkAnnotation="0" codeName="ThisWorkbook"/>
  <mc:AlternateContent xmlns:mc="http://schemas.openxmlformats.org/markup-compatibility/2006">
    <mc:Choice Requires="x15">
      <x15ac:absPath xmlns:x15ac="http://schemas.microsoft.com/office/spreadsheetml/2010/11/ac" url="C:\Users\madis\Documents\Repositories\DeepSpace00\Awohali\hardware\electronics\mainBoard\design\LM25148\"/>
    </mc:Choice>
  </mc:AlternateContent>
  <xr:revisionPtr revIDLastSave="0" documentId="8_{1EF5A841-1491-484F-A65F-A840B679CEAE}" xr6:coauthVersionLast="47" xr6:coauthVersionMax="47" xr10:uidLastSave="{00000000-0000-0000-0000-000000000000}"/>
  <workbookProtection workbookAlgorithmName="SHA-512" workbookHashValue="z5FqPcKKBi5N5vWNRvcYhJXgQpCVhA6Nlkt2y6dNUxC67iEK3bipfR2nj7F8lthz3hfo8uuKqtD3glDULCo3lg==" workbookSaltValue="jp688ZIxTdWp8B4uuQx0XQ==" workbookSpinCount="100000" lockStructure="1"/>
  <bookViews>
    <workbookView xWindow="-110" yWindow="-110" windowWidth="38620" windowHeight="21100" tabRatio="329" xr2:uid="{00000000-000D-0000-FFFF-FFFF00000000}"/>
  </bookViews>
  <sheets>
    <sheet name="Design Regulator" sheetId="1" r:id="rId1"/>
    <sheet name="Input Filters" sheetId="29" state="hidden" r:id="rId2"/>
    <sheet name="Design Input Filter" sheetId="28" state="hidden" r:id="rId3"/>
    <sheet name="BOM &amp; Schematic" sheetId="16" r:id="rId4"/>
    <sheet name="EVM" sheetId="14" r:id="rId5"/>
    <sheet name="Variable Management" sheetId="2" state="hidden" r:id="rId6"/>
    <sheet name="Schematic Management" sheetId="22" state="hidden" r:id="rId7"/>
    <sheet name="Stability Calculations" sheetId="17" state="hidden" r:id="rId8"/>
    <sheet name="Bode Plot Management" sheetId="24" state="hidden" r:id="rId9"/>
    <sheet name="Efficiency Calculations" sheetId="21" state="hidden" r:id="rId10"/>
    <sheet name="Efficiency Plot Management" sheetId="19" state="hidden" r:id="rId11"/>
    <sheet name="Input Filter Calculations" sheetId="27" state="hidden" r:id="rId12"/>
    <sheet name="Standard Value Calculator" sheetId="8" state="hidden" r:id="rId13"/>
    <sheet name="Snubber" sheetId="11" state="hidden" r:id="rId14"/>
    <sheet name="Parallel Output Caps" sheetId="6" state="hidden" r:id="rId15"/>
  </sheets>
  <definedNames>
    <definedName name="_Don1">'Variable Management'!$B$34</definedName>
    <definedName name="_Don2">'Variable Management'!$B$49</definedName>
    <definedName name="Acs">'Variable Management'!$B$223</definedName>
    <definedName name="Acs_Ch2">'Variable Management'!$D$223</definedName>
    <definedName name="Adc">'Stability Calculations'!$U$3</definedName>
    <definedName name="AEA">'Variable Management'!$B$221</definedName>
    <definedName name="Afb">'Variable Management'!$B$222</definedName>
    <definedName name="Afb_Ch2">'Variable Management'!$D$222</definedName>
    <definedName name="Afbr">'Stability Calculations'!$Q$6</definedName>
    <definedName name="Am">'Variable Management'!$B$225</definedName>
    <definedName name="Am_buck">'Variable Management'!$B$224</definedName>
    <definedName name="Am_buck_Ch2">'Variable Management'!$D$224</definedName>
    <definedName name="Am_Ch2">'Variable Management'!$D$225</definedName>
    <definedName name="Attn_req">'Variable Management'!$B$284</definedName>
    <definedName name="BODE_PLOT_Ch1">'Bode Plot Management'!$B$5</definedName>
    <definedName name="BODE_PLOT_Ch2">'Bode Plot Management'!$B$8</definedName>
    <definedName name="BODE_PLOT_TYPE">'Variable Management'!$AA$10</definedName>
    <definedName name="Buck_CS_threshold">'Variable Management'!$B$85</definedName>
    <definedName name="Buck_CS_threshold_max">'Variable Management'!$B$86</definedName>
    <definedName name="Buck_CS_threshold_min">'Variable Management'!$B$84</definedName>
    <definedName name="Cb">'Variable Management'!$B$194</definedName>
    <definedName name="Cbw">'Variable Management'!$B$219</definedName>
    <definedName name="Cby">'Variable Management'!$B$193</definedName>
    <definedName name="Cc1ea">'Variable Management'!$B$242</definedName>
    <definedName name="Cc1ea_u">'Variable Management'!$B$248</definedName>
    <definedName name="Cc2ea">'Variable Management'!$B$243</definedName>
    <definedName name="Cc2ea_u">'Variable Management'!$B$249</definedName>
    <definedName name="Cc3ea">'Variable Management'!$D$242</definedName>
    <definedName name="Cc3ea_u">'Variable Management'!$D$248</definedName>
    <definedName name="Cc4ea">'Variable Management'!$D$243</definedName>
    <definedName name="Cc4ea_u">'Variable Management'!$D$249</definedName>
    <definedName name="Ccomp_AEF">'Variable Management'!$D$297</definedName>
    <definedName name="Cdamp_AEFstd">'Standard Value Calculator'!$N$4</definedName>
    <definedName name="Cdamp_PassiveStd">'Standard Value Calculator'!$L$4</definedName>
    <definedName name="CdampCom">'Input Filter Calculations'!$AE$5</definedName>
    <definedName name="CdampPssv">'Input Filter Calculations'!$M$5</definedName>
    <definedName name="CdampSel">'Variable Management'!$D$295</definedName>
    <definedName name="Cdither">'Variable Management'!$B$193</definedName>
    <definedName name="Cdither_init">'Variable Management'!$B$192</definedName>
    <definedName name="Cfb">'Variable Management'!$B$261</definedName>
    <definedName name="Cff">'Variable Management'!$B$260</definedName>
    <definedName name="CfilterPssv">'Input Filter Calculations'!$M$4</definedName>
    <definedName name="Ch2_VOUT">'Variable Management'!$O$16</definedName>
    <definedName name="Cin">'Variable Management'!$B$150</definedName>
    <definedName name="Cin_PassiveStd">'Standard Value Calculator'!$K$4</definedName>
    <definedName name="CinEsrMax">'Variable Management'!$B$154</definedName>
    <definedName name="Cinj_AEF">'Variable Management'!$B$293</definedName>
    <definedName name="Cinj_AEFstd">'Standard Value Calculator'!$M$4</definedName>
    <definedName name="CinjCom">'Input Filter Calculations'!$AE$4</definedName>
    <definedName name="CinjSel">'Variable Management'!$D$293</definedName>
    <definedName name="Cinmin">'Variable Management'!$B$147</definedName>
    <definedName name="COMP_TYPE">'Variable Management'!$AA$21</definedName>
    <definedName name="Core_Loss_Ch1">'Variable Management'!$B$73</definedName>
    <definedName name="Coss_Q1">'Variable Management'!$B$336</definedName>
    <definedName name="Coss_Q2">'Variable Management'!$D$336</definedName>
    <definedName name="Cout">'Variable Management'!$B$122</definedName>
    <definedName name="Cout_ESR">'Variable Management'!$B$126</definedName>
    <definedName name="Cout_min">'Variable Management'!$B$120</definedName>
    <definedName name="Cout2">'Variable Management'!$D$122</definedName>
    <definedName name="Cout2_ESR">'Variable Management'!$D$126</definedName>
    <definedName name="Cout2_min">'Variable Management'!$D$120</definedName>
    <definedName name="Cout2EsrMax">'Variable Management'!$D$123</definedName>
    <definedName name="CoutEsrMax">'Variable Management'!$B$123</definedName>
    <definedName name="Cres">'Variable Management'!$B$174</definedName>
    <definedName name="Cres_u">'Variable Management'!$B$175</definedName>
    <definedName name="CSAmp_gain">'Variable Management'!$B$198</definedName>
    <definedName name="Csb">'Variable Management'!$B$191</definedName>
    <definedName name="Csen_AEF">'Variable Management'!$D$299</definedName>
    <definedName name="Css">'Variable Management'!$B$169</definedName>
    <definedName name="Css_u">'Variable Management'!$B$170</definedName>
    <definedName name="D1_Vinmax">'Variable Management'!$B$39</definedName>
    <definedName name="D1_Vinmax_2">'Variable Management'!$B$54</definedName>
    <definedName name="D1_Vinmin">'Variable Management'!$B$37</definedName>
    <definedName name="D1_Vinmin_2">'Variable Management'!$B$52</definedName>
    <definedName name="D1_Vinnom">'Variable Management'!$B$38</definedName>
    <definedName name="D1_Vinnom_2">'Variable Management'!$B$53</definedName>
    <definedName name="D2_Vinmax">'Variable Management'!$D$39</definedName>
    <definedName name="D2_Vinmax_2">'Variable Management'!$D$54</definedName>
    <definedName name="D2_Vinmin">'Variable Management'!$D$37</definedName>
    <definedName name="D2_Vinmin_2">'Variable Management'!$D$52</definedName>
    <definedName name="D2_Vinnom">'Variable Management'!$D$38</definedName>
    <definedName name="D2_Vinnom_2">'Variable Management'!$D$53</definedName>
    <definedName name="Deadtime">'Variable Management'!$B$325</definedName>
    <definedName name="DEMB">'Variable Management'!$X$10</definedName>
    <definedName name="DITHER">'Variable Management'!$O$10</definedName>
    <definedName name="Doff1">'Variable Management'!$B$35</definedName>
    <definedName name="Doff2">'Variable Management'!$B$50</definedName>
    <definedName name="Don_buckboost">'Variable Management'!$B$40</definedName>
    <definedName name="EFF_Ch1">'Efficiency Plot Management'!$B$5</definedName>
    <definedName name="EFF_Ch2">'Efficiency Plot Management'!$B$7</definedName>
    <definedName name="Efficiency">'Variable Management'!$B$18</definedName>
    <definedName name="Ext_VCC">'Variable Management'!$X$15</definedName>
    <definedName name="Fcross">'Variable Management'!$B$240</definedName>
    <definedName name="Fcross_Ch2">'Variable Management'!$D$240</definedName>
    <definedName name="Fdither">'Variable Management'!$B$191</definedName>
    <definedName name="Fesr">'Variable Management'!$B$237</definedName>
    <definedName name="Fesr_Ch2">'Variable Management'!$D$237</definedName>
    <definedName name="Fload_u">'Variable Management'!$B$232</definedName>
    <definedName name="Fload_u_Ch2">'Variable Management'!$D$232</definedName>
    <definedName name="Fp_dominant">'Variable Management'!$B$233</definedName>
    <definedName name="Fp_dominant_Ch2">'Variable Management'!$D$233</definedName>
    <definedName name="Fp1_u">'Variable Management'!$B$235</definedName>
    <definedName name="Fp1_u_Ch2">'Variable Management'!$D$235</definedName>
    <definedName name="Fp2_u">'Variable Management'!$B$236</definedName>
    <definedName name="Fp2_u_Ch2">'Variable Management'!$D$236</definedName>
    <definedName name="Frhp" localSheetId="8">'Variable Management'!#REF!</definedName>
    <definedName name="Fsw">'Variable Management'!$B$26</definedName>
    <definedName name="Fx_infilter">'Variable Management'!$B$285</definedName>
    <definedName name="Fz1_u">'Variable Management'!$B$252</definedName>
    <definedName name="Fz1_u_Ch2">'Variable Management'!$D$252</definedName>
    <definedName name="GBW">'Variable Management'!$B$218</definedName>
    <definedName name="Gfs_Q1">'Variable Management'!$B$338</definedName>
    <definedName name="Gfs_Q2">'Variable Management'!$D$338</definedName>
    <definedName name="gm">'Variable Management'!$B$200</definedName>
    <definedName name="Gop_AEF">'Variable Management'!$B$289</definedName>
    <definedName name="Icoutrms">'Variable Management'!$B$111</definedName>
    <definedName name="Iin_Vinmax">'Variable Management'!$B$23</definedName>
    <definedName name="Iin_Vinmin">'Variable Management'!$B$21</definedName>
    <definedName name="Iin_Vinnom">'Variable Management'!$B$22</definedName>
    <definedName name="Ilimit_DC">'Variable Management'!$B$77</definedName>
    <definedName name="Ilimit2_DC">'Variable Management'!$D$77</definedName>
    <definedName name="INFILTER_TYPE">'Variable Management'!$X$28</definedName>
    <definedName name="Iout">'Variable Management'!$B$12</definedName>
    <definedName name="Iout_OCP_Vinmax">'Variable Management'!$B$99</definedName>
    <definedName name="Iout_OCP_Vinmin">'Variable Management'!$B$97</definedName>
    <definedName name="Iout_OCP_Vinnom">'Variable Management'!$B$98</definedName>
    <definedName name="Iout_threshold" localSheetId="8">'Variable Management'!#REF!</definedName>
    <definedName name="Iout2_OCP_Vinmax">'Variable Management'!$D$99</definedName>
    <definedName name="Iout2_OCP_Vinmin">'Variable Management'!$D$97</definedName>
    <definedName name="Iout2_OCP_Vinnom">'Variable Management'!$D$98</definedName>
    <definedName name="Iq">'Variable Management'!$B$327</definedName>
    <definedName name="Ireverse">'Variable Management'!$B$352</definedName>
    <definedName name="Iripple_Vinmax">'Variable Management'!$B$58</definedName>
    <definedName name="Iripple_Vinmin">'Variable Management'!$B$56</definedName>
    <definedName name="Iripple_Vinnom">'Variable Management'!$B$57</definedName>
    <definedName name="Iripple2_Vinmax">'Variable Management'!$D$58</definedName>
    <definedName name="Iripple2_Vinmin">'Variable Management'!$D$56</definedName>
    <definedName name="Iripple2_Vinnom">'Variable Management'!$D$57</definedName>
    <definedName name="Iss">'Variable Management'!$B$168</definedName>
    <definedName name="k">'Variable Management'!$B$214</definedName>
    <definedName name="k_buck">'Variable Management'!$B$211</definedName>
    <definedName name="k_Ch2">'Variable Management'!$D$214</definedName>
    <definedName name="L_infilter">'Variable Management'!$B$287</definedName>
    <definedName name="L_infilterStd">'Input Filter Calculations'!$D$3</definedName>
    <definedName name="LAEFCom">'Input Filter Calculations'!$AE$3</definedName>
    <definedName name="Lf">'Variable Management'!$B$46</definedName>
    <definedName name="LinfilterPssv">'Input Filter Calculations'!$M$3</definedName>
    <definedName name="Lo_2">'Variable Management'!$D$46</definedName>
    <definedName name="loopPM">'Stability Calculations'!$AI$9</definedName>
    <definedName name="loopxover">'Stability Calculations'!$AI$7</definedName>
    <definedName name="Lopt">'Variable Management'!$B$44</definedName>
    <definedName name="Lopt2">'Variable Management'!$D$44</definedName>
    <definedName name="Ltc">'Variable Management'!$B$312</definedName>
    <definedName name="mc">'Variable Management'!$B$213</definedName>
    <definedName name="mc_buck">'Variable Management'!$B$210</definedName>
    <definedName name="mc_buck_Ch2">'Variable Management'!$D$210</definedName>
    <definedName name="mc_Ch2">'Variable Management'!$D$213</definedName>
    <definedName name="MODE">'Variable Management'!$U$13</definedName>
    <definedName name="nAEF">'Variable Management'!$B$290</definedName>
    <definedName name="No_RT">'Variable Management'!$H$443</definedName>
    <definedName name="Number_of_Phases">'Variable Management'!$U$15</definedName>
    <definedName name="OSC">'Variable Management'!$X$21</definedName>
    <definedName name="Pi">'Variable Management'!$B$197</definedName>
    <definedName name="PICTURE">INDIRECT('Efficiency Plot Management'!$A$2)</definedName>
    <definedName name="PICTURE2" localSheetId="3">INDIRECT('Schematic Management'!$A$2)</definedName>
    <definedName name="PICTURE2" localSheetId="0">INDIRECT('Schematic Management'!$A$2)</definedName>
    <definedName name="PICTURE3">INDIRECT('Bode Plot Management'!$A$2)</definedName>
    <definedName name="Pin">'Variable Management'!$B$19</definedName>
    <definedName name="PLOT_TYPE">'Variable Management'!$L$10</definedName>
    <definedName name="pole1">'Stability Calculations'!$K$4</definedName>
    <definedName name="Pole2">'Stability Calculations'!$C$5</definedName>
    <definedName name="pole3">'Stability Calculations'!$N$3</definedName>
    <definedName name="pole4">'Stability Calculations'!$C$7</definedName>
    <definedName name="Pout">'Variable Management'!$B$16</definedName>
    <definedName name="_xlnm.Print_Area" localSheetId="3">'BOM &amp; Schematic'!$A$1:$J$61</definedName>
    <definedName name="_xlnm.Print_Area" localSheetId="0">'Design Regulator'!$A$1:$P$106</definedName>
    <definedName name="pterm1">'Stability Calculations'!$N$4</definedName>
    <definedName name="pterm2">'Stability Calculations'!$N$5</definedName>
    <definedName name="pterm3">'Stability Calculations'!$Q$4</definedName>
    <definedName name="pterm4">'Stability Calculations'!$Q$5</definedName>
    <definedName name="Q">'Variable Management'!$B$215</definedName>
    <definedName name="Q_Ch2">'Variable Management'!$D$215</definedName>
    <definedName name="Qg_Q1">'Variable Management'!$B$332</definedName>
    <definedName name="Qg_Q2">'Variable Management'!$D$332</definedName>
    <definedName name="Qgd_Q1">'Variable Management'!$B$333</definedName>
    <definedName name="Qgd_Q2">'Variable Management'!$D$333</definedName>
    <definedName name="Qgs_Q1">'Variable Management'!$B$334</definedName>
    <definedName name="Qgs_Q2">'Variable Management'!$D$334</definedName>
    <definedName name="Qoss_Q1">'Variable Management'!$B$335</definedName>
    <definedName name="Qoss_Q2">'Variable Management'!$D$335</definedName>
    <definedName name="Qrr_Q2">'Variable Management'!$D$343</definedName>
    <definedName name="QrrSky_Q2">'Variable Management'!$B$351</definedName>
    <definedName name="radconv">'Stability Calculations'!$U$6</definedName>
    <definedName name="Rcea1">'Variable Management'!$B$241</definedName>
    <definedName name="Rcea1_u">'Variable Management'!$B$247</definedName>
    <definedName name="Rcea2">'Variable Management'!$D$241</definedName>
    <definedName name="Rcea2_u">'Variable Management'!#REF!</definedName>
    <definedName name="RCinEsr">'Variable Management'!$B$156</definedName>
    <definedName name="Rcomp_AEF">'Variable Management'!$B$298</definedName>
    <definedName name="RCoutEsr">'Variable Management'!$B$126</definedName>
    <definedName name="Rdamp_AEFstd">'Standard Value Calculator'!$S$26</definedName>
    <definedName name="Rdamp_PassiveStd">'Standard Value Calculator'!$S$27</definedName>
    <definedName name="RdampCom">'Input Filter Calculations'!$AE$6</definedName>
    <definedName name="RdampPssv">'Input Filter Calculations'!$M$6</definedName>
    <definedName name="RdampSel">'Variable Management'!$D$296</definedName>
    <definedName name="Rdcr">'Variable Management'!$B$47</definedName>
    <definedName name="Rdcr2">'Variable Management'!$D$47</definedName>
    <definedName name="Rdson1">'Variable Management'!$B$330</definedName>
    <definedName name="Rdson2">'Variable Management'!$D$330</definedName>
    <definedName name="RdsonBotTc">'Variable Management'!$D$331</definedName>
    <definedName name="RdsonDRB">'Variable Management'!$B$322</definedName>
    <definedName name="RdsonDRB2">'Variable Management'!$B$323</definedName>
    <definedName name="RdsonDRT">'Variable Management'!$B$319</definedName>
    <definedName name="RdsonDRT2">'Variable Management'!$B$320</definedName>
    <definedName name="RdsonTopTc">'Variable Management'!$B$331</definedName>
    <definedName name="Rfadj">'Variable Management'!$B$31</definedName>
    <definedName name="Rfb1_">'Variable Management'!$B$255</definedName>
    <definedName name="Rfb2_">'Variable Management'!$B$256</definedName>
    <definedName name="Rfb2_u">'Variable Management'!$B$257</definedName>
    <definedName name="Rfb3_">'Variable Management'!$D$255</definedName>
    <definedName name="Rfb4_">'Variable Management'!$D$256</definedName>
    <definedName name="Rfb4_u">'Variable Management'!$D$257</definedName>
    <definedName name="Rfets">'Variable Management'!$B$274</definedName>
    <definedName name="Rff">'Variable Management'!$B$259</definedName>
    <definedName name="Rgate1">'Variable Management'!$B$337</definedName>
    <definedName name="Rgate2">'Variable Management'!$D$337</definedName>
    <definedName name="Ri">'Variable Management'!$B$199</definedName>
    <definedName name="Ri_Ch2">'Variable Management'!$D$199</definedName>
    <definedName name="Ro">'Variable Management'!$B$230</definedName>
    <definedName name="Ro_Ch2">'Variable Management'!$D$230</definedName>
    <definedName name="RoEA">'Variable Management'!$B$220</definedName>
    <definedName name="Rout">'Variable Management'!$B$14</definedName>
    <definedName name="Rout2">'Variable Management'!$B$15</definedName>
    <definedName name="Rpg">'Variable Management'!$B$177</definedName>
    <definedName name="Rs">'Variable Management'!$B$93</definedName>
    <definedName name="Rs_Ch2">'Variable Management'!$D$93</definedName>
    <definedName name="Rs_ideal">'Variable Management'!$B$92</definedName>
    <definedName name="Rs2_ideal">'Variable Management'!$D$92</definedName>
    <definedName name="Sch_AdjVout_ExtComp_AEF">'Schematic Management'!$B$21</definedName>
    <definedName name="Sch_AdjVout_ExtComp_nAEF">'Schematic Management'!$B$19</definedName>
    <definedName name="Sch_AdjVout_IntComp_AEF">'Schematic Management'!$B$17</definedName>
    <definedName name="Sch_AdjVout_IntComp_nAEF">'Schematic Management'!$B$14</definedName>
    <definedName name="SCH_MODE">'Variable Management'!$U$12</definedName>
    <definedName name="SCH_SETTING">'Variable Management'!$L$33</definedName>
    <definedName name="Sch_SetVout_ExtComp_AEF">'Schematic Management'!$B$12</definedName>
    <definedName name="Sch_SetVout_ExtComp_nAEF">'Schematic Management'!$B$10</definedName>
    <definedName name="Sch_SetVout_IntComp_AEF">'Schematic Management'!$B$8</definedName>
    <definedName name="Sch_SetVout_IntComp_nAEF">'Schematic Management'!$B$5</definedName>
    <definedName name="Se_ext">'Variable Management'!$B$202</definedName>
    <definedName name="Sf">'Variable Management'!$B$204</definedName>
    <definedName name="Sf_Ch2">'Variable Management'!$D$204</definedName>
    <definedName name="SINGLE_OUTPUT">'Variable Management'!$U$14</definedName>
    <definedName name="Sn">'Variable Management'!$B$203</definedName>
    <definedName name="Sn_Ch2">'Variable Management'!$D$203</definedName>
    <definedName name="Ta">'Variable Management'!$B$310</definedName>
    <definedName name="Tf_buck">'Variable Management'!$B$359</definedName>
    <definedName name="Tf_Ch2">'Variable Management'!$D$359</definedName>
    <definedName name="ThetaCa">'Variable Management'!$B$313</definedName>
    <definedName name="ThetaJA_Q1">'Variable Management'!$B$345</definedName>
    <definedName name="ThetaJA_Q2">'Variable Management'!$D$345</definedName>
    <definedName name="ThetaJaCtrl">'Variable Management'!$B$355</definedName>
    <definedName name="TL">'Variable Management'!$B$73</definedName>
    <definedName name="Tr_buck">'Variable Management'!$B$358</definedName>
    <definedName name="Tr_Ch2">'Variable Management'!$D$358</definedName>
    <definedName name="Tres">'Variable Management'!$B$173</definedName>
    <definedName name="Trr_Q1">'Variable Management'!$B$344</definedName>
    <definedName name="Trr_Q2">'Variable Management'!$D$344</definedName>
    <definedName name="Ts">'Variable Management'!$B$29</definedName>
    <definedName name="Tss">'Variable Management'!$B$167</definedName>
    <definedName name="UVLO_TYPE">'Variable Management'!$AA$27</definedName>
    <definedName name="VARIANT">'Variable Management'!$Q$29</definedName>
    <definedName name="VCC">'Variable Management'!$B$317</definedName>
    <definedName name="VfdSky_Q2">'Variable Management'!$B$350</definedName>
    <definedName name="Vin">'Variable Management'!$B$8</definedName>
    <definedName name="VIN_max">'Variable Management'!$B$9</definedName>
    <definedName name="VIN_MAX_RATING">'Variable Management'!$P$30</definedName>
    <definedName name="VIN_min">'Variable Management'!$B$7</definedName>
    <definedName name="VIN_nom">'Variable Management'!$B$8</definedName>
    <definedName name="VinRipple_dBuV">'Variable Management'!$B$282</definedName>
    <definedName name="Vinripple1">'Variable Management'!$B$140</definedName>
    <definedName name="Vinripple2">'Variable Management'!$B$162</definedName>
    <definedName name="Vo1_ripple">'Variable Management'!$B$116</definedName>
    <definedName name="Vo2_ripple">'Variable Management'!$D$116</definedName>
    <definedName name="Vout">'Variable Management'!$B$11</definedName>
    <definedName name="VOUT_MAX_RATING">'Variable Management'!$P$31</definedName>
    <definedName name="VOUT_setting">'Variable Management'!$L$17</definedName>
    <definedName name="Vout2">'Variable Management'!$B$13</definedName>
    <definedName name="Vref">'Variable Management'!$B$30</definedName>
    <definedName name="Vsd_Q1">'Variable Management'!$B$342</definedName>
    <definedName name="Vsd_Q2">'Variable Management'!$D$342</definedName>
    <definedName name="Vsp_Q1">'Variable Management'!$B$340</definedName>
    <definedName name="Vsp_Q2">'Variable Management'!$D$340</definedName>
    <definedName name="Vth_Q1">'Variable Management'!$B$339</definedName>
    <definedName name="Vth_Q2">'Variable Management'!$D$339</definedName>
    <definedName name="w_fbff">'Variable Management'!$B$266</definedName>
    <definedName name="w_fbffHz">'Variable Management'!$B$266</definedName>
    <definedName name="wfbbHz">'Variable Management'!$B$265</definedName>
    <definedName name="wfbtHz">'Variable Management'!$B$264</definedName>
    <definedName name="wffHz">'Variable Management'!$B$263</definedName>
    <definedName name="wfftHz">'Variable Management'!$B$267</definedName>
    <definedName name="z_RHP">'Stability Calculations'!$K$5</definedName>
    <definedName name="Zero1">'Stability Calculations'!$K$3</definedName>
    <definedName name="Zero2">'Stability Calculations'!$C$4</definedName>
    <definedName name="zterm1">'Stability Calculations'!$Q$3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6" i="16" l="1"/>
  <c r="D56" i="16"/>
  <c r="A452" i="2"/>
  <c r="B73" i="2"/>
  <c r="P29" i="2"/>
  <c r="C56" i="16" s="1"/>
  <c r="P31" i="2"/>
  <c r="P30" i="2"/>
  <c r="E404" i="2"/>
  <c r="B448" i="2"/>
  <c r="B395" i="2"/>
  <c r="B381" i="2"/>
  <c r="B379" i="2"/>
  <c r="B184" i="2" l="1"/>
  <c r="B441" i="2"/>
  <c r="D385" i="2" l="1"/>
  <c r="E104" i="1" l="1"/>
  <c r="AE6" i="27" l="1"/>
  <c r="AE5" i="27"/>
  <c r="AE4" i="27"/>
  <c r="AE3" i="27"/>
  <c r="C12" i="29"/>
  <c r="C11" i="29"/>
  <c r="C10" i="29"/>
  <c r="C9" i="29"/>
  <c r="D58" i="1" l="1"/>
  <c r="M6" i="27"/>
  <c r="M5" i="27"/>
  <c r="M4" i="27"/>
  <c r="M3" i="27"/>
  <c r="E57" i="1" l="1"/>
  <c r="B442" i="2" s="1"/>
  <c r="B186" i="2" l="1"/>
  <c r="B183" i="2"/>
  <c r="B187" i="2" l="1"/>
  <c r="R41" i="8" s="1"/>
  <c r="S41" i="8" s="1"/>
  <c r="B189" i="2" s="1"/>
  <c r="B422" i="2" s="1"/>
  <c r="R40" i="8"/>
  <c r="S40" i="8" s="1"/>
  <c r="B188" i="2" s="1"/>
  <c r="B421" i="2" s="1"/>
  <c r="E55" i="1" l="1"/>
  <c r="E56" i="1"/>
  <c r="B266" i="2"/>
  <c r="B263" i="2"/>
  <c r="B200" i="2" l="1"/>
  <c r="R13" i="8" l="1"/>
  <c r="D248" i="2" l="1"/>
  <c r="D249" i="2"/>
  <c r="A245" i="2"/>
  <c r="E385" i="2"/>
  <c r="C385" i="2"/>
  <c r="B385" i="2"/>
  <c r="A385" i="2"/>
  <c r="B13" i="27" l="1"/>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D293" i="2" l="1"/>
  <c r="D296" i="2"/>
  <c r="D295" i="2"/>
  <c r="B287" i="2"/>
  <c r="B386" i="2" l="1"/>
  <c r="A386" i="2"/>
  <c r="B389" i="2"/>
  <c r="B387" i="2"/>
  <c r="C8" i="28"/>
  <c r="D292" i="2"/>
  <c r="F9" i="28"/>
  <c r="B9" i="28" l="1"/>
  <c r="E57" i="27"/>
  <c r="R57" i="27" s="1"/>
  <c r="E58" i="27"/>
  <c r="R58" i="27" s="1"/>
  <c r="E59" i="27"/>
  <c r="R59" i="27" s="1"/>
  <c r="E60" i="27"/>
  <c r="R60" i="27" s="1"/>
  <c r="E61" i="27"/>
  <c r="R61" i="27" s="1"/>
  <c r="E62" i="27"/>
  <c r="R62" i="27" s="1"/>
  <c r="E63" i="27"/>
  <c r="R63" i="27" s="1"/>
  <c r="E64" i="27"/>
  <c r="R64" i="27" s="1"/>
  <c r="E65" i="27"/>
  <c r="R65" i="27" s="1"/>
  <c r="E66" i="27"/>
  <c r="R66" i="27" s="1"/>
  <c r="E67" i="27"/>
  <c r="R67" i="27" s="1"/>
  <c r="E68" i="27"/>
  <c r="R68" i="27" s="1"/>
  <c r="D57" i="27"/>
  <c r="S57" i="27" s="1"/>
  <c r="D58" i="27"/>
  <c r="S58" i="27" s="1"/>
  <c r="D59" i="27"/>
  <c r="S59" i="27" s="1"/>
  <c r="D60" i="27"/>
  <c r="S60" i="27" s="1"/>
  <c r="D61" i="27"/>
  <c r="S61" i="27" s="1"/>
  <c r="D62" i="27"/>
  <c r="S62" i="27" s="1"/>
  <c r="D63" i="27"/>
  <c r="S63" i="27" s="1"/>
  <c r="D64" i="27"/>
  <c r="S64" i="27" s="1"/>
  <c r="D65" i="27"/>
  <c r="S65" i="27" s="1"/>
  <c r="D66" i="27"/>
  <c r="S66" i="27" s="1"/>
  <c r="D67" i="27"/>
  <c r="S67" i="27" s="1"/>
  <c r="D68" i="27"/>
  <c r="S68" i="27" s="1"/>
  <c r="C57" i="27"/>
  <c r="C58" i="27"/>
  <c r="C59" i="27"/>
  <c r="C60" i="27"/>
  <c r="C61" i="27"/>
  <c r="C62" i="27"/>
  <c r="C63" i="27"/>
  <c r="AD63" i="27" s="1"/>
  <c r="AE63" i="27" s="1"/>
  <c r="AH63" i="27" s="1"/>
  <c r="C64" i="27"/>
  <c r="C65" i="27"/>
  <c r="AD65" i="27" s="1"/>
  <c r="AE65" i="27" s="1"/>
  <c r="AH65" i="27" s="1"/>
  <c r="C66" i="27"/>
  <c r="C67" i="27"/>
  <c r="C68" i="27"/>
  <c r="AD68" i="27" s="1"/>
  <c r="AE68" i="27" s="1"/>
  <c r="AH68" i="27" s="1"/>
  <c r="Q67" i="27" l="1"/>
  <c r="AD67" i="27"/>
  <c r="AE67" i="27" s="1"/>
  <c r="AH67" i="27" s="1"/>
  <c r="Q59" i="27"/>
  <c r="AD59" i="27"/>
  <c r="AE59" i="27" s="1"/>
  <c r="AH59" i="27" s="1"/>
  <c r="Q66" i="27"/>
  <c r="AD66" i="27"/>
  <c r="AE66" i="27" s="1"/>
  <c r="AH66" i="27" s="1"/>
  <c r="Q58" i="27"/>
  <c r="AD58" i="27"/>
  <c r="AE58" i="27" s="1"/>
  <c r="AH58" i="27" s="1"/>
  <c r="Q62" i="27"/>
  <c r="AD62" i="27"/>
  <c r="AE62" i="27" s="1"/>
  <c r="AH62" i="27" s="1"/>
  <c r="Q61" i="27"/>
  <c r="AD61" i="27"/>
  <c r="AE61" i="27" s="1"/>
  <c r="AH61" i="27" s="1"/>
  <c r="Q57" i="27"/>
  <c r="AD57" i="27"/>
  <c r="AE57" i="27" s="1"/>
  <c r="AH57" i="27" s="1"/>
  <c r="Q64" i="27"/>
  <c r="AD64" i="27"/>
  <c r="AE64" i="27" s="1"/>
  <c r="AH64" i="27" s="1"/>
  <c r="Q60" i="27"/>
  <c r="AD60" i="27"/>
  <c r="AE60" i="27" s="1"/>
  <c r="AH60" i="27" s="1"/>
  <c r="I63" i="27"/>
  <c r="Q63" i="27"/>
  <c r="I68" i="27"/>
  <c r="Q68" i="27"/>
  <c r="I65" i="27"/>
  <c r="Q65" i="27"/>
  <c r="I66" i="27"/>
  <c r="I67" i="27"/>
  <c r="I60" i="27"/>
  <c r="I57" i="27"/>
  <c r="I64" i="27"/>
  <c r="I61" i="27"/>
  <c r="I58" i="27"/>
  <c r="I59" i="27"/>
  <c r="I62" i="27"/>
  <c r="C54" i="27"/>
  <c r="D54" i="27"/>
  <c r="S54" i="27" s="1"/>
  <c r="E54" i="27"/>
  <c r="R54" i="27" s="1"/>
  <c r="C55" i="27"/>
  <c r="D55" i="27"/>
  <c r="S55" i="27" s="1"/>
  <c r="E55" i="27"/>
  <c r="R55" i="27" s="1"/>
  <c r="C56" i="27"/>
  <c r="D56" i="27"/>
  <c r="S56" i="27" s="1"/>
  <c r="E56" i="27"/>
  <c r="R56" i="27" s="1"/>
  <c r="C78" i="27"/>
  <c r="D78" i="27"/>
  <c r="S78" i="27" s="1"/>
  <c r="E78" i="27"/>
  <c r="R78" i="27" s="1"/>
  <c r="C72" i="27"/>
  <c r="D72" i="27"/>
  <c r="S72" i="27" s="1"/>
  <c r="E72" i="27"/>
  <c r="R72" i="27" s="1"/>
  <c r="C73" i="27"/>
  <c r="D73" i="27"/>
  <c r="S73" i="27" s="1"/>
  <c r="E73" i="27"/>
  <c r="R73" i="27" s="1"/>
  <c r="C74" i="27"/>
  <c r="D74" i="27"/>
  <c r="S74" i="27" s="1"/>
  <c r="E74" i="27"/>
  <c r="R74" i="27" s="1"/>
  <c r="C75" i="27"/>
  <c r="D75" i="27"/>
  <c r="S75" i="27" s="1"/>
  <c r="E75" i="27"/>
  <c r="R75" i="27" s="1"/>
  <c r="C76" i="27"/>
  <c r="D76" i="27"/>
  <c r="S76" i="27" s="1"/>
  <c r="E76" i="27"/>
  <c r="R76" i="27" s="1"/>
  <c r="C77" i="27"/>
  <c r="D77" i="27"/>
  <c r="S77" i="27" s="1"/>
  <c r="E77" i="27"/>
  <c r="R77" i="27" s="1"/>
  <c r="C50" i="27"/>
  <c r="D50" i="27"/>
  <c r="S50" i="27" s="1"/>
  <c r="E50" i="27"/>
  <c r="R50" i="27" s="1"/>
  <c r="C51" i="27"/>
  <c r="D51" i="27"/>
  <c r="S51" i="27" s="1"/>
  <c r="E51" i="27"/>
  <c r="R51" i="27" s="1"/>
  <c r="C52" i="27"/>
  <c r="D52" i="27"/>
  <c r="S52" i="27" s="1"/>
  <c r="E52" i="27"/>
  <c r="R52" i="27" s="1"/>
  <c r="C53" i="27"/>
  <c r="D53" i="27"/>
  <c r="S53" i="27" s="1"/>
  <c r="E53" i="27"/>
  <c r="R53" i="27" s="1"/>
  <c r="Q50" i="27" l="1"/>
  <c r="AD50" i="27"/>
  <c r="AE50" i="27" s="1"/>
  <c r="AH50" i="27" s="1"/>
  <c r="Q74" i="27"/>
  <c r="AD74" i="27"/>
  <c r="AE74" i="27" s="1"/>
  <c r="AH74" i="27" s="1"/>
  <c r="Q56" i="27"/>
  <c r="AD56" i="27"/>
  <c r="AE56" i="27" s="1"/>
  <c r="AH56" i="27" s="1"/>
  <c r="Q51" i="27"/>
  <c r="AD51" i="27"/>
  <c r="AE51" i="27" s="1"/>
  <c r="AH51" i="27" s="1"/>
  <c r="Q75" i="27"/>
  <c r="AD75" i="27"/>
  <c r="AE75" i="27" s="1"/>
  <c r="AH75" i="27" s="1"/>
  <c r="Q78" i="27"/>
  <c r="AD78" i="27"/>
  <c r="AE78" i="27" s="1"/>
  <c r="AH78" i="27" s="1"/>
  <c r="Q52" i="27"/>
  <c r="AD52" i="27"/>
  <c r="AE52" i="27" s="1"/>
  <c r="AH52" i="27" s="1"/>
  <c r="Q76" i="27"/>
  <c r="AD76" i="27"/>
  <c r="AE76" i="27" s="1"/>
  <c r="AH76" i="27" s="1"/>
  <c r="Q72" i="27"/>
  <c r="AD72" i="27"/>
  <c r="AE72" i="27" s="1"/>
  <c r="AH72" i="27" s="1"/>
  <c r="Q54" i="27"/>
  <c r="AD54" i="27"/>
  <c r="AE54" i="27" s="1"/>
  <c r="AH54" i="27" s="1"/>
  <c r="Q53" i="27"/>
  <c r="AD53" i="27"/>
  <c r="AE53" i="27" s="1"/>
  <c r="AH53" i="27" s="1"/>
  <c r="Q77" i="27"/>
  <c r="AD77" i="27"/>
  <c r="AE77" i="27" s="1"/>
  <c r="AH77" i="27" s="1"/>
  <c r="Q73" i="27"/>
  <c r="AD73" i="27"/>
  <c r="AE73" i="27" s="1"/>
  <c r="AH73" i="27" s="1"/>
  <c r="Q55" i="27"/>
  <c r="AD55" i="27"/>
  <c r="AE55" i="27" s="1"/>
  <c r="AH55" i="27" s="1"/>
  <c r="I52" i="27"/>
  <c r="I53" i="27"/>
  <c r="I77" i="27"/>
  <c r="I73" i="27"/>
  <c r="I55" i="27"/>
  <c r="I74" i="27"/>
  <c r="I56" i="27"/>
  <c r="I50" i="27"/>
  <c r="I51" i="27"/>
  <c r="I75" i="27"/>
  <c r="I78" i="27"/>
  <c r="I76" i="27"/>
  <c r="I72" i="27"/>
  <c r="I54" i="27"/>
  <c r="E14" i="27"/>
  <c r="R14" i="27" s="1"/>
  <c r="E15" i="27"/>
  <c r="R15" i="27" s="1"/>
  <c r="E16" i="27"/>
  <c r="R16" i="27" s="1"/>
  <c r="E17" i="27"/>
  <c r="R17" i="27" s="1"/>
  <c r="E18" i="27"/>
  <c r="R18" i="27" s="1"/>
  <c r="E19" i="27"/>
  <c r="R19" i="27" s="1"/>
  <c r="E20" i="27"/>
  <c r="R20" i="27" s="1"/>
  <c r="E21" i="27"/>
  <c r="R21" i="27" s="1"/>
  <c r="E22" i="27"/>
  <c r="R22" i="27" s="1"/>
  <c r="E23" i="27"/>
  <c r="R23" i="27" s="1"/>
  <c r="E24" i="27"/>
  <c r="R24" i="27" s="1"/>
  <c r="E25" i="27"/>
  <c r="R25" i="27" s="1"/>
  <c r="E26" i="27"/>
  <c r="R26" i="27" s="1"/>
  <c r="E27" i="27"/>
  <c r="R27" i="27" s="1"/>
  <c r="E28" i="27"/>
  <c r="R28" i="27" s="1"/>
  <c r="E29" i="27"/>
  <c r="R29" i="27" s="1"/>
  <c r="E30" i="27"/>
  <c r="R30" i="27" s="1"/>
  <c r="E31" i="27"/>
  <c r="R31" i="27" s="1"/>
  <c r="E32" i="27"/>
  <c r="R32" i="27" s="1"/>
  <c r="E33" i="27"/>
  <c r="R33" i="27" s="1"/>
  <c r="E34" i="27"/>
  <c r="R34" i="27" s="1"/>
  <c r="E35" i="27"/>
  <c r="R35" i="27" s="1"/>
  <c r="E36" i="27"/>
  <c r="R36" i="27" s="1"/>
  <c r="E37" i="27"/>
  <c r="R37" i="27" s="1"/>
  <c r="E38" i="27"/>
  <c r="R38" i="27" s="1"/>
  <c r="E39" i="27"/>
  <c r="R39" i="27" s="1"/>
  <c r="E40" i="27"/>
  <c r="R40" i="27" s="1"/>
  <c r="E41" i="27"/>
  <c r="R41" i="27" s="1"/>
  <c r="E42" i="27"/>
  <c r="R42" i="27" s="1"/>
  <c r="E43" i="27"/>
  <c r="R43" i="27" s="1"/>
  <c r="E44" i="27"/>
  <c r="R44" i="27" s="1"/>
  <c r="E45" i="27"/>
  <c r="R45" i="27" s="1"/>
  <c r="E46" i="27"/>
  <c r="R46" i="27" s="1"/>
  <c r="E47" i="27"/>
  <c r="R47" i="27" s="1"/>
  <c r="E48" i="27"/>
  <c r="R48" i="27" s="1"/>
  <c r="E49" i="27"/>
  <c r="R49" i="27" s="1"/>
  <c r="E69" i="27"/>
  <c r="R69" i="27" s="1"/>
  <c r="E70" i="27"/>
  <c r="R70" i="27" s="1"/>
  <c r="E71" i="27"/>
  <c r="R71" i="27" s="1"/>
  <c r="E79" i="27"/>
  <c r="R79" i="27" s="1"/>
  <c r="E80" i="27"/>
  <c r="R80" i="27" s="1"/>
  <c r="E81" i="27"/>
  <c r="R81" i="27" s="1"/>
  <c r="E82" i="27"/>
  <c r="R82" i="27" s="1"/>
  <c r="E83" i="27"/>
  <c r="R83" i="27" s="1"/>
  <c r="E84" i="27"/>
  <c r="R84" i="27" s="1"/>
  <c r="E85" i="27"/>
  <c r="R85" i="27" s="1"/>
  <c r="E86" i="27"/>
  <c r="R86" i="27" s="1"/>
  <c r="E87" i="27"/>
  <c r="R87" i="27" s="1"/>
  <c r="E88" i="27"/>
  <c r="R88" i="27" s="1"/>
  <c r="E89" i="27"/>
  <c r="R89" i="27" s="1"/>
  <c r="E90" i="27"/>
  <c r="R90" i="27" s="1"/>
  <c r="E91" i="27"/>
  <c r="R91" i="27" s="1"/>
  <c r="E92" i="27"/>
  <c r="R92" i="27" s="1"/>
  <c r="E93" i="27"/>
  <c r="R93" i="27" s="1"/>
  <c r="E94" i="27"/>
  <c r="R94" i="27" s="1"/>
  <c r="E95" i="27"/>
  <c r="R95" i="27" s="1"/>
  <c r="E96" i="27"/>
  <c r="R96" i="27" s="1"/>
  <c r="E13" i="27"/>
  <c r="R13" i="27" s="1"/>
  <c r="D14" i="27"/>
  <c r="S14" i="27" s="1"/>
  <c r="D15" i="27"/>
  <c r="S15" i="27" s="1"/>
  <c r="D16" i="27"/>
  <c r="S16" i="27" s="1"/>
  <c r="D17" i="27"/>
  <c r="S17" i="27" s="1"/>
  <c r="D18" i="27"/>
  <c r="S18" i="27" s="1"/>
  <c r="D19" i="27"/>
  <c r="S19" i="27" s="1"/>
  <c r="D20" i="27"/>
  <c r="S20" i="27" s="1"/>
  <c r="D21" i="27"/>
  <c r="S21" i="27" s="1"/>
  <c r="D22" i="27"/>
  <c r="S22" i="27" s="1"/>
  <c r="D23" i="27"/>
  <c r="S23" i="27" s="1"/>
  <c r="D24" i="27"/>
  <c r="S24" i="27" s="1"/>
  <c r="D25" i="27"/>
  <c r="S25" i="27" s="1"/>
  <c r="D26" i="27"/>
  <c r="S26" i="27" s="1"/>
  <c r="D27" i="27"/>
  <c r="S27" i="27" s="1"/>
  <c r="D28" i="27"/>
  <c r="S28" i="27" s="1"/>
  <c r="D29" i="27"/>
  <c r="S29" i="27" s="1"/>
  <c r="D30" i="27"/>
  <c r="S30" i="27" s="1"/>
  <c r="D31" i="27"/>
  <c r="S31" i="27" s="1"/>
  <c r="D32" i="27"/>
  <c r="S32" i="27" s="1"/>
  <c r="D33" i="27"/>
  <c r="S33" i="27" s="1"/>
  <c r="D34" i="27"/>
  <c r="S34" i="27" s="1"/>
  <c r="D35" i="27"/>
  <c r="S35" i="27" s="1"/>
  <c r="D36" i="27"/>
  <c r="S36" i="27" s="1"/>
  <c r="D37" i="27"/>
  <c r="S37" i="27" s="1"/>
  <c r="D38" i="27"/>
  <c r="S38" i="27" s="1"/>
  <c r="D39" i="27"/>
  <c r="S39" i="27" s="1"/>
  <c r="D40" i="27"/>
  <c r="S40" i="27" s="1"/>
  <c r="D41" i="27"/>
  <c r="S41" i="27" s="1"/>
  <c r="D42" i="27"/>
  <c r="S42" i="27" s="1"/>
  <c r="D43" i="27"/>
  <c r="S43" i="27" s="1"/>
  <c r="D44" i="27"/>
  <c r="S44" i="27" s="1"/>
  <c r="D45" i="27"/>
  <c r="S45" i="27" s="1"/>
  <c r="D46" i="27"/>
  <c r="S46" i="27" s="1"/>
  <c r="D47" i="27"/>
  <c r="S47" i="27" s="1"/>
  <c r="D48" i="27"/>
  <c r="S48" i="27" s="1"/>
  <c r="D49" i="27"/>
  <c r="S49" i="27" s="1"/>
  <c r="D69" i="27"/>
  <c r="S69" i="27" s="1"/>
  <c r="D70" i="27"/>
  <c r="S70" i="27" s="1"/>
  <c r="D71" i="27"/>
  <c r="S71" i="27" s="1"/>
  <c r="D79" i="27"/>
  <c r="S79" i="27" s="1"/>
  <c r="D80" i="27"/>
  <c r="S80" i="27" s="1"/>
  <c r="D81" i="27"/>
  <c r="S81" i="27" s="1"/>
  <c r="D82" i="27"/>
  <c r="S82" i="27" s="1"/>
  <c r="D83" i="27"/>
  <c r="S83" i="27" s="1"/>
  <c r="D84" i="27"/>
  <c r="S84" i="27" s="1"/>
  <c r="D85" i="27"/>
  <c r="S85" i="27" s="1"/>
  <c r="D86" i="27"/>
  <c r="S86" i="27" s="1"/>
  <c r="D87" i="27"/>
  <c r="S87" i="27" s="1"/>
  <c r="D88" i="27"/>
  <c r="S88" i="27" s="1"/>
  <c r="D89" i="27"/>
  <c r="S89" i="27" s="1"/>
  <c r="D90" i="27"/>
  <c r="S90" i="27" s="1"/>
  <c r="D91" i="27"/>
  <c r="S91" i="27" s="1"/>
  <c r="D92" i="27"/>
  <c r="S92" i="27" s="1"/>
  <c r="D93" i="27"/>
  <c r="S93" i="27" s="1"/>
  <c r="D94" i="27"/>
  <c r="S94" i="27" s="1"/>
  <c r="D95" i="27"/>
  <c r="S95" i="27" s="1"/>
  <c r="D96" i="27"/>
  <c r="S96" i="27" s="1"/>
  <c r="D13" i="27"/>
  <c r="S13" i="27" s="1"/>
  <c r="C14" i="27"/>
  <c r="C15" i="27"/>
  <c r="C16" i="27"/>
  <c r="C17" i="27"/>
  <c r="C18" i="27"/>
  <c r="C19" i="27"/>
  <c r="C20" i="27"/>
  <c r="C21" i="27"/>
  <c r="C22" i="27"/>
  <c r="C23" i="27"/>
  <c r="C24" i="27"/>
  <c r="C25" i="27"/>
  <c r="C26" i="27"/>
  <c r="C27" i="27"/>
  <c r="C28" i="27"/>
  <c r="C29" i="27"/>
  <c r="C30" i="27"/>
  <c r="C31" i="27"/>
  <c r="C32" i="27"/>
  <c r="C33" i="27"/>
  <c r="C34" i="27"/>
  <c r="C35" i="27"/>
  <c r="C36" i="27"/>
  <c r="C37" i="27"/>
  <c r="C38" i="27"/>
  <c r="C39" i="27"/>
  <c r="C40" i="27"/>
  <c r="C41" i="27"/>
  <c r="C42" i="27"/>
  <c r="C43" i="27"/>
  <c r="C44" i="27"/>
  <c r="C45" i="27"/>
  <c r="C46" i="27"/>
  <c r="C47" i="27"/>
  <c r="C48" i="27"/>
  <c r="C49" i="27"/>
  <c r="C69" i="27"/>
  <c r="C70" i="27"/>
  <c r="C71" i="27"/>
  <c r="C79" i="27"/>
  <c r="C80" i="27"/>
  <c r="C81" i="27"/>
  <c r="C82" i="27"/>
  <c r="C83" i="27"/>
  <c r="C84" i="27"/>
  <c r="C85" i="27"/>
  <c r="C86" i="27"/>
  <c r="C87" i="27"/>
  <c r="C88" i="27"/>
  <c r="C89" i="27"/>
  <c r="C90" i="27"/>
  <c r="C91" i="27"/>
  <c r="C92" i="27"/>
  <c r="C93" i="27"/>
  <c r="C94" i="27"/>
  <c r="C95" i="27"/>
  <c r="C96" i="27"/>
  <c r="C13" i="27"/>
  <c r="Q13" i="27" l="1"/>
  <c r="AD13" i="27"/>
  <c r="Q89" i="27"/>
  <c r="AD89" i="27"/>
  <c r="AE89" i="27" s="1"/>
  <c r="AH89" i="27" s="1"/>
  <c r="Q81" i="27"/>
  <c r="AD81" i="27"/>
  <c r="AE81" i="27" s="1"/>
  <c r="AH81" i="27" s="1"/>
  <c r="Q47" i="27"/>
  <c r="AD47" i="27"/>
  <c r="AE47" i="27" s="1"/>
  <c r="AH47" i="27" s="1"/>
  <c r="Q43" i="27"/>
  <c r="AD43" i="27"/>
  <c r="AE43" i="27" s="1"/>
  <c r="AH43" i="27" s="1"/>
  <c r="Q35" i="27"/>
  <c r="AD35" i="27"/>
  <c r="AE35" i="27" s="1"/>
  <c r="AH35" i="27" s="1"/>
  <c r="Q27" i="27"/>
  <c r="AD27" i="27"/>
  <c r="AE27" i="27" s="1"/>
  <c r="AH27" i="27" s="1"/>
  <c r="Q19" i="27"/>
  <c r="AD19" i="27"/>
  <c r="AE19" i="27" s="1"/>
  <c r="AH19" i="27" s="1"/>
  <c r="Q15" i="27"/>
  <c r="AD15" i="27"/>
  <c r="AE15" i="27" s="1"/>
  <c r="AH15" i="27" s="1"/>
  <c r="Q96" i="27"/>
  <c r="AD96" i="27"/>
  <c r="AE96" i="27" s="1"/>
  <c r="AH96" i="27" s="1"/>
  <c r="Q88" i="27"/>
  <c r="AD88" i="27"/>
  <c r="AE88" i="27" s="1"/>
  <c r="AH88" i="27" s="1"/>
  <c r="Q80" i="27"/>
  <c r="AD80" i="27"/>
  <c r="AE80" i="27" s="1"/>
  <c r="AH80" i="27" s="1"/>
  <c r="Q69" i="27"/>
  <c r="AD69" i="27"/>
  <c r="AE69" i="27" s="1"/>
  <c r="AH69" i="27" s="1"/>
  <c r="Q42" i="27"/>
  <c r="AD42" i="27"/>
  <c r="AE42" i="27" s="1"/>
  <c r="AH42" i="27" s="1"/>
  <c r="Q34" i="27"/>
  <c r="AD34" i="27"/>
  <c r="AE34" i="27" s="1"/>
  <c r="AH34" i="27" s="1"/>
  <c r="Q30" i="27"/>
  <c r="AD30" i="27"/>
  <c r="AE30" i="27" s="1"/>
  <c r="AH30" i="27" s="1"/>
  <c r="Q22" i="27"/>
  <c r="AD22" i="27"/>
  <c r="AE22" i="27" s="1"/>
  <c r="AH22" i="27" s="1"/>
  <c r="Q18" i="27"/>
  <c r="AD18" i="27"/>
  <c r="AE18" i="27" s="1"/>
  <c r="AH18" i="27" s="1"/>
  <c r="Q14" i="27"/>
  <c r="AD14" i="27"/>
  <c r="AE14" i="27" s="1"/>
  <c r="AH14" i="27" s="1"/>
  <c r="Q95" i="27"/>
  <c r="AD95" i="27"/>
  <c r="AE95" i="27" s="1"/>
  <c r="AH95" i="27" s="1"/>
  <c r="Q91" i="27"/>
  <c r="AD91" i="27"/>
  <c r="AE91" i="27" s="1"/>
  <c r="AH91" i="27" s="1"/>
  <c r="Q87" i="27"/>
  <c r="AD87" i="27"/>
  <c r="AE87" i="27" s="1"/>
  <c r="AH87" i="27" s="1"/>
  <c r="Q83" i="27"/>
  <c r="AD83" i="27"/>
  <c r="AE83" i="27" s="1"/>
  <c r="AH83" i="27" s="1"/>
  <c r="Q79" i="27"/>
  <c r="AD79" i="27"/>
  <c r="AE79" i="27" s="1"/>
  <c r="AH79" i="27" s="1"/>
  <c r="Q49" i="27"/>
  <c r="AD49" i="27"/>
  <c r="AE49" i="27" s="1"/>
  <c r="AH49" i="27" s="1"/>
  <c r="Q45" i="27"/>
  <c r="AD45" i="27"/>
  <c r="AE45" i="27" s="1"/>
  <c r="AH45" i="27" s="1"/>
  <c r="Q41" i="27"/>
  <c r="AD41" i="27"/>
  <c r="AE41" i="27" s="1"/>
  <c r="AH41" i="27" s="1"/>
  <c r="Q37" i="27"/>
  <c r="AD37" i="27"/>
  <c r="AE37" i="27" s="1"/>
  <c r="AH37" i="27" s="1"/>
  <c r="Q33" i="27"/>
  <c r="AD33" i="27"/>
  <c r="AE33" i="27" s="1"/>
  <c r="AH33" i="27" s="1"/>
  <c r="Q29" i="27"/>
  <c r="AD29" i="27"/>
  <c r="AE29" i="27" s="1"/>
  <c r="AH29" i="27" s="1"/>
  <c r="Q25" i="27"/>
  <c r="AD25" i="27"/>
  <c r="AE25" i="27" s="1"/>
  <c r="AH25" i="27" s="1"/>
  <c r="Q21" i="27"/>
  <c r="AD21" i="27"/>
  <c r="AE21" i="27" s="1"/>
  <c r="AH21" i="27" s="1"/>
  <c r="Q17" i="27"/>
  <c r="AD17" i="27"/>
  <c r="AE17" i="27" s="1"/>
  <c r="AH17" i="27" s="1"/>
  <c r="Q93" i="27"/>
  <c r="AD93" i="27"/>
  <c r="AE93" i="27" s="1"/>
  <c r="AH93" i="27" s="1"/>
  <c r="Q85" i="27"/>
  <c r="AD85" i="27"/>
  <c r="AE85" i="27" s="1"/>
  <c r="AH85" i="27" s="1"/>
  <c r="Q70" i="27"/>
  <c r="AD70" i="27"/>
  <c r="AE70" i="27" s="1"/>
  <c r="AH70" i="27" s="1"/>
  <c r="Q39" i="27"/>
  <c r="AD39" i="27"/>
  <c r="AE39" i="27" s="1"/>
  <c r="AH39" i="27" s="1"/>
  <c r="Q31" i="27"/>
  <c r="AD31" i="27"/>
  <c r="AE31" i="27" s="1"/>
  <c r="AH31" i="27" s="1"/>
  <c r="Q23" i="27"/>
  <c r="AD23" i="27"/>
  <c r="AE23" i="27" s="1"/>
  <c r="AH23" i="27" s="1"/>
  <c r="Q92" i="27"/>
  <c r="AD92" i="27"/>
  <c r="AE92" i="27" s="1"/>
  <c r="AH92" i="27" s="1"/>
  <c r="Q84" i="27"/>
  <c r="AD84" i="27"/>
  <c r="AE84" i="27" s="1"/>
  <c r="AH84" i="27" s="1"/>
  <c r="Q46" i="27"/>
  <c r="AD46" i="27"/>
  <c r="AE46" i="27" s="1"/>
  <c r="AH46" i="27" s="1"/>
  <c r="Q38" i="27"/>
  <c r="AD38" i="27"/>
  <c r="AE38" i="27" s="1"/>
  <c r="AH38" i="27" s="1"/>
  <c r="Q26" i="27"/>
  <c r="AD26" i="27"/>
  <c r="AE26" i="27" s="1"/>
  <c r="AH26" i="27" s="1"/>
  <c r="Q94" i="27"/>
  <c r="AD94" i="27"/>
  <c r="AE94" i="27" s="1"/>
  <c r="AH94" i="27" s="1"/>
  <c r="Q90" i="27"/>
  <c r="AD90" i="27"/>
  <c r="AE90" i="27" s="1"/>
  <c r="AH90" i="27" s="1"/>
  <c r="Q86" i="27"/>
  <c r="AD86" i="27"/>
  <c r="AE86" i="27" s="1"/>
  <c r="AH86" i="27" s="1"/>
  <c r="Q82" i="27"/>
  <c r="AD82" i="27"/>
  <c r="AE82" i="27" s="1"/>
  <c r="AH82" i="27" s="1"/>
  <c r="Q71" i="27"/>
  <c r="AD71" i="27"/>
  <c r="AE71" i="27" s="1"/>
  <c r="AH71" i="27" s="1"/>
  <c r="Q48" i="27"/>
  <c r="AD48" i="27"/>
  <c r="AE48" i="27" s="1"/>
  <c r="AH48" i="27" s="1"/>
  <c r="Q44" i="27"/>
  <c r="AD44" i="27"/>
  <c r="AE44" i="27" s="1"/>
  <c r="AH44" i="27" s="1"/>
  <c r="Q40" i="27"/>
  <c r="AD40" i="27"/>
  <c r="AE40" i="27" s="1"/>
  <c r="AH40" i="27" s="1"/>
  <c r="Q36" i="27"/>
  <c r="AD36" i="27"/>
  <c r="AE36" i="27" s="1"/>
  <c r="AH36" i="27" s="1"/>
  <c r="Q32" i="27"/>
  <c r="AD32" i="27"/>
  <c r="AE32" i="27" s="1"/>
  <c r="AH32" i="27" s="1"/>
  <c r="Q28" i="27"/>
  <c r="AD28" i="27"/>
  <c r="AE28" i="27" s="1"/>
  <c r="AH28" i="27" s="1"/>
  <c r="Q24" i="27"/>
  <c r="AD24" i="27"/>
  <c r="AE24" i="27" s="1"/>
  <c r="AH24" i="27" s="1"/>
  <c r="Q20" i="27"/>
  <c r="AD20" i="27"/>
  <c r="AE20" i="27" s="1"/>
  <c r="AH20" i="27" s="1"/>
  <c r="Q16" i="27"/>
  <c r="AD16" i="27"/>
  <c r="AE16" i="27" s="1"/>
  <c r="AH16" i="27" s="1"/>
  <c r="I96" i="27"/>
  <c r="I88" i="27"/>
  <c r="I80" i="27"/>
  <c r="I46" i="27"/>
  <c r="I38" i="27"/>
  <c r="I30" i="27"/>
  <c r="I22" i="27"/>
  <c r="I18" i="27"/>
  <c r="I95" i="27"/>
  <c r="I91" i="27"/>
  <c r="I87" i="27"/>
  <c r="I83" i="27"/>
  <c r="I79" i="27"/>
  <c r="I49" i="27"/>
  <c r="I45" i="27"/>
  <c r="I41" i="27"/>
  <c r="I37" i="27"/>
  <c r="I33" i="27"/>
  <c r="I29" i="27"/>
  <c r="I25" i="27"/>
  <c r="I21" i="27"/>
  <c r="I17" i="27"/>
  <c r="I90" i="27"/>
  <c r="I82" i="27"/>
  <c r="I48" i="27"/>
  <c r="I40" i="27"/>
  <c r="I32" i="27"/>
  <c r="I24" i="27"/>
  <c r="I86" i="27"/>
  <c r="I71" i="27"/>
  <c r="I44" i="27"/>
  <c r="I36" i="27"/>
  <c r="I28" i="27"/>
  <c r="I20" i="27"/>
  <c r="I16" i="27"/>
  <c r="I13" i="27"/>
  <c r="I93" i="27"/>
  <c r="I89" i="27"/>
  <c r="I85" i="27"/>
  <c r="I81" i="27"/>
  <c r="I70" i="27"/>
  <c r="I47" i="27"/>
  <c r="I43" i="27"/>
  <c r="I39" i="27"/>
  <c r="I35" i="27"/>
  <c r="I31" i="27"/>
  <c r="I27" i="27"/>
  <c r="I23" i="27"/>
  <c r="I19" i="27"/>
  <c r="I15" i="27"/>
  <c r="I94" i="27"/>
  <c r="I92" i="27"/>
  <c r="I84" i="27"/>
  <c r="I69" i="27"/>
  <c r="I42" i="27"/>
  <c r="I34" i="27"/>
  <c r="I26" i="27"/>
  <c r="I14" i="27"/>
  <c r="D3" i="27"/>
  <c r="I33" i="16" l="1"/>
  <c r="A379" i="2" l="1"/>
  <c r="D336" i="2" l="1"/>
  <c r="D335" i="2"/>
  <c r="B336" i="2"/>
  <c r="B335" i="2"/>
  <c r="K37" i="1" l="1"/>
  <c r="P37" i="1"/>
  <c r="K35" i="1"/>
  <c r="K38" i="1"/>
  <c r="D70" i="1" l="1"/>
  <c r="U15" i="2"/>
  <c r="B397" i="2" s="1"/>
  <c r="B310" i="2" l="1"/>
  <c r="A2" i="19"/>
  <c r="A2" i="24"/>
  <c r="F6" i="24"/>
  <c r="Z8" i="2" l="1"/>
  <c r="K8" i="2"/>
  <c r="B12" i="2" l="1"/>
  <c r="A43" i="16"/>
  <c r="B137" i="2" l="1"/>
  <c r="J11" i="21"/>
  <c r="K24" i="21"/>
  <c r="K40" i="21"/>
  <c r="K56" i="21"/>
  <c r="K72" i="21"/>
  <c r="K88" i="21"/>
  <c r="K104" i="21"/>
  <c r="K21" i="21"/>
  <c r="K37" i="21"/>
  <c r="K101" i="21"/>
  <c r="K58" i="21"/>
  <c r="K10" i="21"/>
  <c r="K67" i="21"/>
  <c r="K43" i="21"/>
  <c r="K93" i="21"/>
  <c r="K71" i="21"/>
  <c r="K18" i="21"/>
  <c r="K30" i="21"/>
  <c r="K97" i="21"/>
  <c r="K54" i="21"/>
  <c r="K96" i="21"/>
  <c r="K45" i="21"/>
  <c r="K38" i="21"/>
  <c r="K78" i="21"/>
  <c r="K27" i="21"/>
  <c r="K34" i="21"/>
  <c r="K107" i="21"/>
  <c r="K86" i="21"/>
  <c r="K12" i="21"/>
  <c r="K28" i="21"/>
  <c r="K44" i="21"/>
  <c r="K60" i="21"/>
  <c r="K76" i="21"/>
  <c r="K92" i="21"/>
  <c r="K108" i="21"/>
  <c r="K25" i="21"/>
  <c r="K41" i="21"/>
  <c r="K90" i="21"/>
  <c r="K46" i="21"/>
  <c r="K105" i="21"/>
  <c r="K83" i="21"/>
  <c r="K62" i="21"/>
  <c r="K35" i="21"/>
  <c r="K109" i="21"/>
  <c r="K87" i="21"/>
  <c r="K66" i="21"/>
  <c r="K42" i="21"/>
  <c r="K9" i="21"/>
  <c r="K74" i="21"/>
  <c r="K22" i="21"/>
  <c r="K91" i="21"/>
  <c r="K70" i="21"/>
  <c r="K47" i="21"/>
  <c r="K15" i="21"/>
  <c r="K16" i="21"/>
  <c r="K32" i="21"/>
  <c r="K48" i="21"/>
  <c r="K64" i="21"/>
  <c r="K80" i="21"/>
  <c r="K13" i="21"/>
  <c r="K79" i="21"/>
  <c r="K57" i="21"/>
  <c r="K82" i="21"/>
  <c r="K63" i="21"/>
  <c r="K39" i="21"/>
  <c r="K20" i="21"/>
  <c r="K36" i="21"/>
  <c r="K52" i="21"/>
  <c r="K68" i="21"/>
  <c r="K84" i="21"/>
  <c r="K100" i="21"/>
  <c r="K17" i="21"/>
  <c r="K33" i="21"/>
  <c r="K49" i="21"/>
  <c r="K69" i="21"/>
  <c r="K14" i="21"/>
  <c r="K94" i="21"/>
  <c r="K73" i="21"/>
  <c r="K51" i="21"/>
  <c r="K19" i="21"/>
  <c r="K98" i="21"/>
  <c r="K77" i="21"/>
  <c r="K55" i="21"/>
  <c r="K26" i="21"/>
  <c r="K95" i="21"/>
  <c r="K53" i="21"/>
  <c r="K102" i="21"/>
  <c r="K81" i="21"/>
  <c r="K59" i="21"/>
  <c r="K31" i="21"/>
  <c r="K89" i="21"/>
  <c r="K11" i="21"/>
  <c r="K50" i="21"/>
  <c r="K85" i="21"/>
  <c r="K75" i="21"/>
  <c r="K23" i="21"/>
  <c r="K29" i="21"/>
  <c r="K99" i="21"/>
  <c r="K103" i="21"/>
  <c r="K61" i="21"/>
  <c r="K106" i="21"/>
  <c r="K65" i="21"/>
  <c r="J69" i="21"/>
  <c r="J105" i="21"/>
  <c r="J101" i="21"/>
  <c r="J37" i="21"/>
  <c r="J41" i="21"/>
  <c r="J73" i="21"/>
  <c r="J89" i="21"/>
  <c r="J57" i="21"/>
  <c r="J25" i="21"/>
  <c r="J85" i="21"/>
  <c r="J53" i="21"/>
  <c r="J21" i="21"/>
  <c r="J97" i="21"/>
  <c r="J81" i="21"/>
  <c r="J65" i="21"/>
  <c r="J49" i="21"/>
  <c r="J33" i="21"/>
  <c r="J109" i="21"/>
  <c r="J93" i="21"/>
  <c r="J77" i="21"/>
  <c r="J61" i="21"/>
  <c r="J45" i="21"/>
  <c r="J29" i="21"/>
  <c r="J13" i="21"/>
  <c r="J10" i="21"/>
  <c r="J106" i="21"/>
  <c r="J102" i="21"/>
  <c r="J98" i="21"/>
  <c r="J94" i="21"/>
  <c r="J90" i="21"/>
  <c r="J86" i="21"/>
  <c r="J82" i="21"/>
  <c r="J78" i="21"/>
  <c r="J74" i="21"/>
  <c r="J70" i="21"/>
  <c r="J66" i="21"/>
  <c r="J62" i="21"/>
  <c r="J58" i="21"/>
  <c r="J54" i="21"/>
  <c r="J50" i="21"/>
  <c r="J46" i="21"/>
  <c r="J42" i="21"/>
  <c r="J38" i="21"/>
  <c r="J34" i="21"/>
  <c r="J30" i="21"/>
  <c r="J26" i="21"/>
  <c r="J22" i="21"/>
  <c r="J18" i="21"/>
  <c r="J14" i="21"/>
  <c r="J17" i="21"/>
  <c r="J108" i="21"/>
  <c r="J104" i="21"/>
  <c r="J100" i="21"/>
  <c r="J96" i="21"/>
  <c r="J92" i="21"/>
  <c r="J88" i="21"/>
  <c r="J84" i="21"/>
  <c r="J80" i="21"/>
  <c r="J76" i="21"/>
  <c r="J72" i="21"/>
  <c r="J68" i="21"/>
  <c r="J64" i="21"/>
  <c r="J60" i="21"/>
  <c r="J56" i="21"/>
  <c r="J52" i="21"/>
  <c r="J48" i="21"/>
  <c r="J44" i="21"/>
  <c r="J40" i="21"/>
  <c r="J36" i="21"/>
  <c r="J32" i="21"/>
  <c r="J28" i="21"/>
  <c r="J24" i="21"/>
  <c r="J20" i="21"/>
  <c r="J16" i="21"/>
  <c r="J12" i="21"/>
  <c r="J107" i="21"/>
  <c r="J103" i="21"/>
  <c r="J99" i="21"/>
  <c r="J95" i="21"/>
  <c r="J91" i="21"/>
  <c r="J87" i="21"/>
  <c r="J83" i="21"/>
  <c r="J79" i="21"/>
  <c r="J75" i="21"/>
  <c r="J71" i="21"/>
  <c r="J67" i="21"/>
  <c r="J63" i="21"/>
  <c r="J59" i="21"/>
  <c r="J55" i="21"/>
  <c r="J51" i="21"/>
  <c r="J47" i="21"/>
  <c r="J43" i="21"/>
  <c r="J39" i="21"/>
  <c r="J35" i="21"/>
  <c r="J31" i="21"/>
  <c r="J27" i="21"/>
  <c r="J23" i="21"/>
  <c r="J19" i="21"/>
  <c r="J15" i="21"/>
  <c r="D417" i="2" l="1"/>
  <c r="T10" i="21" l="1"/>
  <c r="T11" i="21"/>
  <c r="T12" i="21"/>
  <c r="T13" i="21"/>
  <c r="T14" i="21"/>
  <c r="T15" i="21"/>
  <c r="T16" i="21"/>
  <c r="T17" i="21"/>
  <c r="T18" i="21"/>
  <c r="T19" i="21"/>
  <c r="T20" i="21"/>
  <c r="T21" i="21"/>
  <c r="T22" i="21"/>
  <c r="T23" i="21"/>
  <c r="T24" i="21"/>
  <c r="T25" i="21"/>
  <c r="T26" i="21"/>
  <c r="T27" i="21"/>
  <c r="T28" i="21"/>
  <c r="T29" i="21"/>
  <c r="T30" i="21"/>
  <c r="T31" i="21"/>
  <c r="T32" i="21"/>
  <c r="T33" i="21"/>
  <c r="T34" i="21"/>
  <c r="T35" i="21"/>
  <c r="T36" i="21"/>
  <c r="T37" i="21"/>
  <c r="T38" i="21"/>
  <c r="T39" i="21"/>
  <c r="T40" i="21"/>
  <c r="T41" i="21"/>
  <c r="T42" i="21"/>
  <c r="T43" i="21"/>
  <c r="T44" i="21"/>
  <c r="T45" i="21"/>
  <c r="T46" i="21"/>
  <c r="T47" i="21"/>
  <c r="T48" i="21"/>
  <c r="T49" i="21"/>
  <c r="T50" i="21"/>
  <c r="T51" i="21"/>
  <c r="T52" i="21"/>
  <c r="T53" i="21"/>
  <c r="T54" i="21"/>
  <c r="T55" i="21"/>
  <c r="T56" i="21"/>
  <c r="T57" i="21"/>
  <c r="T58" i="21"/>
  <c r="T59" i="21"/>
  <c r="T60" i="21"/>
  <c r="T61" i="21"/>
  <c r="T62" i="21"/>
  <c r="T63" i="21"/>
  <c r="T64" i="21"/>
  <c r="T65" i="21"/>
  <c r="T66" i="21"/>
  <c r="T67" i="21"/>
  <c r="T68" i="21"/>
  <c r="T69" i="21"/>
  <c r="T70" i="21"/>
  <c r="T71" i="21"/>
  <c r="T72" i="21"/>
  <c r="T73" i="21"/>
  <c r="T74" i="21"/>
  <c r="T75" i="21"/>
  <c r="T76" i="21"/>
  <c r="T77" i="21"/>
  <c r="T78" i="21"/>
  <c r="T79" i="21"/>
  <c r="T80" i="21"/>
  <c r="T81" i="21"/>
  <c r="T82" i="21"/>
  <c r="T83" i="21"/>
  <c r="T84" i="21"/>
  <c r="T85" i="21"/>
  <c r="T86" i="21"/>
  <c r="T87" i="21"/>
  <c r="T88" i="21"/>
  <c r="T89" i="21"/>
  <c r="T90" i="21"/>
  <c r="T91" i="21"/>
  <c r="T92" i="21"/>
  <c r="T93" i="21"/>
  <c r="T94" i="21"/>
  <c r="T95" i="21"/>
  <c r="T96" i="21"/>
  <c r="T97" i="21"/>
  <c r="T98" i="21"/>
  <c r="T99" i="21"/>
  <c r="T100" i="21"/>
  <c r="T101" i="21"/>
  <c r="T102" i="21"/>
  <c r="T103" i="21"/>
  <c r="T104" i="21"/>
  <c r="T105" i="21"/>
  <c r="T106" i="21"/>
  <c r="T107" i="21"/>
  <c r="T108" i="21"/>
  <c r="T109" i="21"/>
  <c r="T9" i="21"/>
  <c r="U14" i="2" l="1"/>
  <c r="B11" i="2"/>
  <c r="U13" i="2"/>
  <c r="Z9" i="2" s="1"/>
  <c r="B173" i="2"/>
  <c r="B174" i="2" s="1"/>
  <c r="R17" i="8" s="1"/>
  <c r="B93" i="2"/>
  <c r="E407" i="2" l="1"/>
  <c r="C407" i="2"/>
  <c r="D148" i="2"/>
  <c r="L17" i="2"/>
  <c r="L33" i="2"/>
  <c r="A2" i="22" s="1"/>
  <c r="C444" i="2"/>
  <c r="B16" i="2"/>
  <c r="K9" i="2"/>
  <c r="D395" i="2"/>
  <c r="D397" i="2"/>
  <c r="D381" i="2"/>
  <c r="D379" i="2"/>
  <c r="I88" i="21"/>
  <c r="I16" i="21"/>
  <c r="I56" i="21"/>
  <c r="I84" i="21"/>
  <c r="I104" i="21"/>
  <c r="I72" i="21"/>
  <c r="I40" i="21"/>
  <c r="I52" i="21"/>
  <c r="I100" i="21"/>
  <c r="I68" i="21"/>
  <c r="I24" i="21"/>
  <c r="I36" i="21"/>
  <c r="I20" i="21"/>
  <c r="I96" i="21"/>
  <c r="I80" i="21"/>
  <c r="I64" i="21"/>
  <c r="I48" i="21"/>
  <c r="I32" i="21"/>
  <c r="I13" i="21"/>
  <c r="I108" i="21"/>
  <c r="I92" i="21"/>
  <c r="I76" i="21"/>
  <c r="I60" i="21"/>
  <c r="I44" i="21"/>
  <c r="I28" i="21"/>
  <c r="I12" i="21"/>
  <c r="I109" i="21"/>
  <c r="I105" i="21"/>
  <c r="I101" i="21"/>
  <c r="I97" i="21"/>
  <c r="I93" i="21"/>
  <c r="I89" i="21"/>
  <c r="I85" i="21"/>
  <c r="I81" i="21"/>
  <c r="I77" i="21"/>
  <c r="I73" i="21"/>
  <c r="I69" i="21"/>
  <c r="I65" i="21"/>
  <c r="I61" i="21"/>
  <c r="I57" i="21"/>
  <c r="I53" i="21"/>
  <c r="I49" i="21"/>
  <c r="I45" i="21"/>
  <c r="I41" i="21"/>
  <c r="I37" i="21"/>
  <c r="I33" i="21"/>
  <c r="I29" i="21"/>
  <c r="I25" i="21"/>
  <c r="I21" i="21"/>
  <c r="I17" i="21"/>
  <c r="I107" i="21"/>
  <c r="I103" i="21"/>
  <c r="I99" i="21"/>
  <c r="I95" i="21"/>
  <c r="I91" i="21"/>
  <c r="I87" i="21"/>
  <c r="I83" i="21"/>
  <c r="I79" i="21"/>
  <c r="I75" i="21"/>
  <c r="I71" i="21"/>
  <c r="I67" i="21"/>
  <c r="I63" i="21"/>
  <c r="I59" i="21"/>
  <c r="I55" i="21"/>
  <c r="I51" i="21"/>
  <c r="I47" i="21"/>
  <c r="I43" i="21"/>
  <c r="I39" i="21"/>
  <c r="I35" i="21"/>
  <c r="I31" i="21"/>
  <c r="I27" i="21"/>
  <c r="I23" i="21"/>
  <c r="I19" i="21"/>
  <c r="I15" i="21"/>
  <c r="I11" i="21"/>
  <c r="I9" i="21"/>
  <c r="I106" i="21"/>
  <c r="I102" i="21"/>
  <c r="I98" i="21"/>
  <c r="I94" i="21"/>
  <c r="I90" i="21"/>
  <c r="I86" i="21"/>
  <c r="I82" i="21"/>
  <c r="I78" i="21"/>
  <c r="I74" i="21"/>
  <c r="I70" i="21"/>
  <c r="I66" i="21"/>
  <c r="I62" i="21"/>
  <c r="I58" i="21"/>
  <c r="I54" i="21"/>
  <c r="I50" i="21"/>
  <c r="I46" i="21"/>
  <c r="I42" i="21"/>
  <c r="I38" i="21"/>
  <c r="I34" i="21"/>
  <c r="I30" i="21"/>
  <c r="I26" i="21"/>
  <c r="I22" i="21"/>
  <c r="I18" i="21"/>
  <c r="I14" i="21"/>
  <c r="I10" i="21"/>
  <c r="O16" i="2"/>
  <c r="L21" i="2"/>
  <c r="G3" i="8"/>
  <c r="D67" i="1" l="1"/>
  <c r="B417" i="2"/>
  <c r="B255" i="2"/>
  <c r="B267" i="2" s="1"/>
  <c r="Q3" i="17" s="1"/>
  <c r="O13" i="17" s="1"/>
  <c r="A419" i="2"/>
  <c r="D65" i="1"/>
  <c r="D419" i="2"/>
  <c r="D66" i="1" s="1"/>
  <c r="D418" i="2"/>
  <c r="C416" i="2"/>
  <c r="B268" i="2" l="1"/>
  <c r="B264" i="2"/>
  <c r="I3" i="8"/>
  <c r="R8" i="8"/>
  <c r="S8" i="8" s="1"/>
  <c r="R36" i="8" s="1"/>
  <c r="B60" i="21"/>
  <c r="B55" i="21"/>
  <c r="B35" i="21"/>
  <c r="B33" i="21"/>
  <c r="B28" i="21"/>
  <c r="B21" i="21"/>
  <c r="B15" i="21"/>
  <c r="Q5" i="17" l="1"/>
  <c r="S36" i="8"/>
  <c r="D351" i="2"/>
  <c r="D350" i="2"/>
  <c r="D345" i="2"/>
  <c r="D343" i="2"/>
  <c r="D342" i="2"/>
  <c r="B53" i="21" s="1"/>
  <c r="D339" i="2"/>
  <c r="D338" i="2"/>
  <c r="D337" i="2"/>
  <c r="B52" i="21" s="1"/>
  <c r="D334" i="2"/>
  <c r="D333" i="2"/>
  <c r="D332" i="2"/>
  <c r="B51" i="21" s="1"/>
  <c r="D330" i="2"/>
  <c r="B49" i="21" s="1"/>
  <c r="P15" i="17" l="1"/>
  <c r="P31" i="17"/>
  <c r="P47" i="17"/>
  <c r="P63" i="17"/>
  <c r="P20" i="17"/>
  <c r="P36" i="17"/>
  <c r="P52" i="17"/>
  <c r="P68" i="17"/>
  <c r="P84" i="17"/>
  <c r="P100" i="17"/>
  <c r="P116" i="17"/>
  <c r="P132" i="17"/>
  <c r="P148" i="17"/>
  <c r="P164" i="17"/>
  <c r="P180" i="17"/>
  <c r="P196" i="17"/>
  <c r="P212" i="17"/>
  <c r="P228" i="17"/>
  <c r="P244" i="17"/>
  <c r="P260" i="17"/>
  <c r="P276" i="17"/>
  <c r="P292" i="17"/>
  <c r="P308" i="17"/>
  <c r="P324" i="17"/>
  <c r="P340" i="17"/>
  <c r="P17" i="17"/>
  <c r="P33" i="17"/>
  <c r="P49" i="17"/>
  <c r="P65" i="17"/>
  <c r="P81" i="17"/>
  <c r="P97" i="17"/>
  <c r="P113" i="17"/>
  <c r="P129" i="17"/>
  <c r="P145" i="17"/>
  <c r="P161" i="17"/>
  <c r="P177" i="17"/>
  <c r="P193" i="17"/>
  <c r="P209" i="17"/>
  <c r="P225" i="17"/>
  <c r="P241" i="17"/>
  <c r="P257" i="17"/>
  <c r="P273" i="17"/>
  <c r="P289" i="17"/>
  <c r="P305" i="17"/>
  <c r="P321" i="17"/>
  <c r="P337" i="17"/>
  <c r="P353" i="17"/>
  <c r="P30" i="17"/>
  <c r="P46" i="17"/>
  <c r="P62" i="17"/>
  <c r="P78" i="17"/>
  <c r="P94" i="17"/>
  <c r="P110" i="17"/>
  <c r="P126" i="17"/>
  <c r="P142" i="17"/>
  <c r="P158" i="17"/>
  <c r="P174" i="17"/>
  <c r="P190" i="17"/>
  <c r="P206" i="17"/>
  <c r="P222" i="17"/>
  <c r="P238" i="17"/>
  <c r="P254" i="17"/>
  <c r="P270" i="17"/>
  <c r="P286" i="17"/>
  <c r="P302" i="17"/>
  <c r="P318" i="17"/>
  <c r="P334" i="17"/>
  <c r="P107" i="17"/>
  <c r="P171" i="17"/>
  <c r="P235" i="17"/>
  <c r="P299" i="17"/>
  <c r="P351" i="17"/>
  <c r="P369" i="17"/>
  <c r="P385" i="17"/>
  <c r="P401" i="17"/>
  <c r="P417" i="17"/>
  <c r="P433" i="17"/>
  <c r="P449" i="17"/>
  <c r="P465" i="17"/>
  <c r="P481" i="17"/>
  <c r="P497" i="17"/>
  <c r="P513" i="17"/>
  <c r="P529" i="17"/>
  <c r="P545" i="17"/>
  <c r="P561" i="17"/>
  <c r="P19" i="17"/>
  <c r="P35" i="17"/>
  <c r="P51" i="17"/>
  <c r="P67" i="17"/>
  <c r="P24" i="17"/>
  <c r="P40" i="17"/>
  <c r="P56" i="17"/>
  <c r="P72" i="17"/>
  <c r="P88" i="17"/>
  <c r="P104" i="17"/>
  <c r="P120" i="17"/>
  <c r="P136" i="17"/>
  <c r="P152" i="17"/>
  <c r="P168" i="17"/>
  <c r="P184" i="17"/>
  <c r="P200" i="17"/>
  <c r="P216" i="17"/>
  <c r="P232" i="17"/>
  <c r="P248" i="17"/>
  <c r="P264" i="17"/>
  <c r="P280" i="17"/>
  <c r="P296" i="17"/>
  <c r="P312" i="17"/>
  <c r="P328" i="17"/>
  <c r="P344" i="17"/>
  <c r="P21" i="17"/>
  <c r="P37" i="17"/>
  <c r="P53" i="17"/>
  <c r="P69" i="17"/>
  <c r="P85" i="17"/>
  <c r="P101" i="17"/>
  <c r="P117" i="17"/>
  <c r="P133" i="17"/>
  <c r="P149" i="17"/>
  <c r="P165" i="17"/>
  <c r="P181" i="17"/>
  <c r="P197" i="17"/>
  <c r="P213" i="17"/>
  <c r="P229" i="17"/>
  <c r="P245" i="17"/>
  <c r="P261" i="17"/>
  <c r="P277" i="17"/>
  <c r="P293" i="17"/>
  <c r="P309" i="17"/>
  <c r="P325" i="17"/>
  <c r="P341" i="17"/>
  <c r="P18" i="17"/>
  <c r="P34" i="17"/>
  <c r="P50" i="17"/>
  <c r="P66" i="17"/>
  <c r="P82" i="17"/>
  <c r="P98" i="17"/>
  <c r="P114" i="17"/>
  <c r="P130" i="17"/>
  <c r="P146" i="17"/>
  <c r="P162" i="17"/>
  <c r="P178" i="17"/>
  <c r="P194" i="17"/>
  <c r="P210" i="17"/>
  <c r="P226" i="17"/>
  <c r="P242" i="17"/>
  <c r="P23" i="17"/>
  <c r="P39" i="17"/>
  <c r="P55" i="17"/>
  <c r="P71" i="17"/>
  <c r="P28" i="17"/>
  <c r="P44" i="17"/>
  <c r="P60" i="17"/>
  <c r="P76" i="17"/>
  <c r="P92" i="17"/>
  <c r="P108" i="17"/>
  <c r="P124" i="17"/>
  <c r="P140" i="17"/>
  <c r="P156" i="17"/>
  <c r="P172" i="17"/>
  <c r="P188" i="17"/>
  <c r="P204" i="17"/>
  <c r="P220" i="17"/>
  <c r="P236" i="17"/>
  <c r="P252" i="17"/>
  <c r="P268" i="17"/>
  <c r="P284" i="17"/>
  <c r="P300" i="17"/>
  <c r="P316" i="17"/>
  <c r="P332" i="17"/>
  <c r="P348" i="17"/>
  <c r="P25" i="17"/>
  <c r="P41" i="17"/>
  <c r="P57" i="17"/>
  <c r="P73" i="17"/>
  <c r="P89" i="17"/>
  <c r="P105" i="17"/>
  <c r="P121" i="17"/>
  <c r="P137" i="17"/>
  <c r="P153" i="17"/>
  <c r="P169" i="17"/>
  <c r="P185" i="17"/>
  <c r="P201" i="17"/>
  <c r="P217" i="17"/>
  <c r="P233" i="17"/>
  <c r="P249" i="17"/>
  <c r="P265" i="17"/>
  <c r="P281" i="17"/>
  <c r="P297" i="17"/>
  <c r="P313" i="17"/>
  <c r="P329" i="17"/>
  <c r="P345" i="17"/>
  <c r="P22" i="17"/>
  <c r="P38" i="17"/>
  <c r="P54" i="17"/>
  <c r="P70" i="17"/>
  <c r="P86" i="17"/>
  <c r="P102" i="17"/>
  <c r="P118" i="17"/>
  <c r="P134" i="17"/>
  <c r="P150" i="17"/>
  <c r="P166" i="17"/>
  <c r="P182" i="17"/>
  <c r="P198" i="17"/>
  <c r="P214" i="17"/>
  <c r="P230" i="17"/>
  <c r="P246" i="17"/>
  <c r="P262" i="17"/>
  <c r="P278" i="17"/>
  <c r="P294" i="17"/>
  <c r="P310" i="17"/>
  <c r="P326" i="17"/>
  <c r="P75" i="17"/>
  <c r="P139" i="17"/>
  <c r="P203" i="17"/>
  <c r="P267" i="17"/>
  <c r="P331" i="17"/>
  <c r="P361" i="17"/>
  <c r="P377" i="17"/>
  <c r="P393" i="17"/>
  <c r="P409" i="17"/>
  <c r="P425" i="17"/>
  <c r="P441" i="17"/>
  <c r="P457" i="17"/>
  <c r="P473" i="17"/>
  <c r="P489" i="17"/>
  <c r="P505" i="17"/>
  <c r="P521" i="17"/>
  <c r="P537" i="17"/>
  <c r="P553" i="17"/>
  <c r="P27" i="17"/>
  <c r="P32" i="17"/>
  <c r="P96" i="17"/>
  <c r="P160" i="17"/>
  <c r="P224" i="17"/>
  <c r="P288" i="17"/>
  <c r="P352" i="17"/>
  <c r="P77" i="17"/>
  <c r="P141" i="17"/>
  <c r="P205" i="17"/>
  <c r="P269" i="17"/>
  <c r="P333" i="17"/>
  <c r="P58" i="17"/>
  <c r="P122" i="17"/>
  <c r="P186" i="17"/>
  <c r="P250" i="17"/>
  <c r="P282" i="17"/>
  <c r="P314" i="17"/>
  <c r="P91" i="17"/>
  <c r="P219" i="17"/>
  <c r="P343" i="17"/>
  <c r="P381" i="17"/>
  <c r="P413" i="17"/>
  <c r="P445" i="17"/>
  <c r="P477" i="17"/>
  <c r="P509" i="17"/>
  <c r="P541" i="17"/>
  <c r="P569" i="17"/>
  <c r="P585" i="17"/>
  <c r="P601" i="17"/>
  <c r="O16" i="17"/>
  <c r="P127" i="17"/>
  <c r="P191" i="17"/>
  <c r="P255" i="17"/>
  <c r="P319" i="17"/>
  <c r="P358" i="17"/>
  <c r="P374" i="17"/>
  <c r="P390" i="17"/>
  <c r="P406" i="17"/>
  <c r="P422" i="17"/>
  <c r="P438" i="17"/>
  <c r="P454" i="17"/>
  <c r="P470" i="17"/>
  <c r="P486" i="17"/>
  <c r="P502" i="17"/>
  <c r="P518" i="17"/>
  <c r="P534" i="17"/>
  <c r="P550" i="17"/>
  <c r="P566" i="17"/>
  <c r="P582" i="17"/>
  <c r="P131" i="17"/>
  <c r="P195" i="17"/>
  <c r="P259" i="17"/>
  <c r="P323" i="17"/>
  <c r="P359" i="17"/>
  <c r="P375" i="17"/>
  <c r="P391" i="17"/>
  <c r="P407" i="17"/>
  <c r="P423" i="17"/>
  <c r="P439" i="17"/>
  <c r="P455" i="17"/>
  <c r="P471" i="17"/>
  <c r="P487" i="17"/>
  <c r="P503" i="17"/>
  <c r="P519" i="17"/>
  <c r="P535" i="17"/>
  <c r="P551" i="17"/>
  <c r="P567" i="17"/>
  <c r="P583" i="17"/>
  <c r="P599" i="17"/>
  <c r="P279" i="17"/>
  <c r="P396" i="17"/>
  <c r="P460" i="17"/>
  <c r="P524" i="17"/>
  <c r="P586" i="17"/>
  <c r="P612" i="17"/>
  <c r="O29" i="17"/>
  <c r="O45" i="17"/>
  <c r="O61" i="17"/>
  <c r="O77" i="17"/>
  <c r="O93" i="17"/>
  <c r="O109" i="17"/>
  <c r="O125" i="17"/>
  <c r="O141" i="17"/>
  <c r="O157" i="17"/>
  <c r="O173" i="17"/>
  <c r="O189" i="17"/>
  <c r="O205" i="17"/>
  <c r="O221" i="17"/>
  <c r="O237" i="17"/>
  <c r="O253" i="17"/>
  <c r="P43" i="17"/>
  <c r="P48" i="17"/>
  <c r="P112" i="17"/>
  <c r="P176" i="17"/>
  <c r="P240" i="17"/>
  <c r="P304" i="17"/>
  <c r="P29" i="17"/>
  <c r="P93" i="17"/>
  <c r="P157" i="17"/>
  <c r="P221" i="17"/>
  <c r="P285" i="17"/>
  <c r="P349" i="17"/>
  <c r="P74" i="17"/>
  <c r="P138" i="17"/>
  <c r="P202" i="17"/>
  <c r="P258" i="17"/>
  <c r="P290" i="17"/>
  <c r="P322" i="17"/>
  <c r="P123" i="17"/>
  <c r="P251" i="17"/>
  <c r="P357" i="17"/>
  <c r="P389" i="17"/>
  <c r="P421" i="17"/>
  <c r="P453" i="17"/>
  <c r="P485" i="17"/>
  <c r="P517" i="17"/>
  <c r="P549" i="17"/>
  <c r="P573" i="17"/>
  <c r="P589" i="17"/>
  <c r="P605" i="17"/>
  <c r="P79" i="17"/>
  <c r="P143" i="17"/>
  <c r="P207" i="17"/>
  <c r="P271" i="17"/>
  <c r="P335" i="17"/>
  <c r="P362" i="17"/>
  <c r="P378" i="17"/>
  <c r="P394" i="17"/>
  <c r="P410" i="17"/>
  <c r="P426" i="17"/>
  <c r="P442" i="17"/>
  <c r="P458" i="17"/>
  <c r="P474" i="17"/>
  <c r="P490" i="17"/>
  <c r="P506" i="17"/>
  <c r="P522" i="17"/>
  <c r="P538" i="17"/>
  <c r="P554" i="17"/>
  <c r="P570" i="17"/>
  <c r="P83" i="17"/>
  <c r="P147" i="17"/>
  <c r="P211" i="17"/>
  <c r="P275" i="17"/>
  <c r="P339" i="17"/>
  <c r="P363" i="17"/>
  <c r="P379" i="17"/>
  <c r="P395" i="17"/>
  <c r="P411" i="17"/>
  <c r="P427" i="17"/>
  <c r="P443" i="17"/>
  <c r="P459" i="17"/>
  <c r="P475" i="17"/>
  <c r="P491" i="17"/>
  <c r="P507" i="17"/>
  <c r="P523" i="17"/>
  <c r="P539" i="17"/>
  <c r="P555" i="17"/>
  <c r="P571" i="17"/>
  <c r="P587" i="17"/>
  <c r="P59" i="17"/>
  <c r="P64" i="17"/>
  <c r="P128" i="17"/>
  <c r="P192" i="17"/>
  <c r="P256" i="17"/>
  <c r="P320" i="17"/>
  <c r="P45" i="17"/>
  <c r="P109" i="17"/>
  <c r="P173" i="17"/>
  <c r="P237" i="17"/>
  <c r="P301" i="17"/>
  <c r="P26" i="17"/>
  <c r="P90" i="17"/>
  <c r="P154" i="17"/>
  <c r="P218" i="17"/>
  <c r="P266" i="17"/>
  <c r="P298" i="17"/>
  <c r="P330" i="17"/>
  <c r="P155" i="17"/>
  <c r="P283" i="17"/>
  <c r="P365" i="17"/>
  <c r="P397" i="17"/>
  <c r="P429" i="17"/>
  <c r="P461" i="17"/>
  <c r="P493" i="17"/>
  <c r="P525" i="17"/>
  <c r="P557" i="17"/>
  <c r="P577" i="17"/>
  <c r="P593" i="17"/>
  <c r="P609" i="17"/>
  <c r="P95" i="17"/>
  <c r="P159" i="17"/>
  <c r="P223" i="17"/>
  <c r="P287" i="17"/>
  <c r="P346" i="17"/>
  <c r="P366" i="17"/>
  <c r="P382" i="17"/>
  <c r="P398" i="17"/>
  <c r="P414" i="17"/>
  <c r="P430" i="17"/>
  <c r="P446" i="17"/>
  <c r="P462" i="17"/>
  <c r="P478" i="17"/>
  <c r="P494" i="17"/>
  <c r="P510" i="17"/>
  <c r="P526" i="17"/>
  <c r="P542" i="17"/>
  <c r="P558" i="17"/>
  <c r="P574" i="17"/>
  <c r="P99" i="17"/>
  <c r="P163" i="17"/>
  <c r="P227" i="17"/>
  <c r="P291" i="17"/>
  <c r="P347" i="17"/>
  <c r="P367" i="17"/>
  <c r="P383" i="17"/>
  <c r="P399" i="17"/>
  <c r="P415" i="17"/>
  <c r="P431" i="17"/>
  <c r="P447" i="17"/>
  <c r="P463" i="17"/>
  <c r="P479" i="17"/>
  <c r="P495" i="17"/>
  <c r="P511" i="17"/>
  <c r="P527" i="17"/>
  <c r="P543" i="17"/>
  <c r="P559" i="17"/>
  <c r="P575" i="17"/>
  <c r="P591" i="17"/>
  <c r="P151" i="17"/>
  <c r="P364" i="17"/>
  <c r="P428" i="17"/>
  <c r="P492" i="17"/>
  <c r="P556" i="17"/>
  <c r="P602" i="17"/>
  <c r="O21" i="17"/>
  <c r="O37" i="17"/>
  <c r="O53" i="17"/>
  <c r="O69" i="17"/>
  <c r="O85" i="17"/>
  <c r="O101" i="17"/>
  <c r="O117" i="17"/>
  <c r="O133" i="17"/>
  <c r="O149" i="17"/>
  <c r="O165" i="17"/>
  <c r="P16" i="17"/>
  <c r="P272" i="17"/>
  <c r="P189" i="17"/>
  <c r="P106" i="17"/>
  <c r="P306" i="17"/>
  <c r="P373" i="17"/>
  <c r="P501" i="17"/>
  <c r="P597" i="17"/>
  <c r="P239" i="17"/>
  <c r="P386" i="17"/>
  <c r="P450" i="17"/>
  <c r="P514" i="17"/>
  <c r="P578" i="17"/>
  <c r="P307" i="17"/>
  <c r="P403" i="17"/>
  <c r="P467" i="17"/>
  <c r="P531" i="17"/>
  <c r="P595" i="17"/>
  <c r="P380" i="17"/>
  <c r="P508" i="17"/>
  <c r="P607" i="17"/>
  <c r="O41" i="17"/>
  <c r="O73" i="17"/>
  <c r="O105" i="17"/>
  <c r="O137" i="17"/>
  <c r="O169" i="17"/>
  <c r="O193" i="17"/>
  <c r="O213" i="17"/>
  <c r="O233" i="17"/>
  <c r="O257" i="17"/>
  <c r="O273" i="17"/>
  <c r="O289" i="17"/>
  <c r="O305" i="17"/>
  <c r="O321" i="17"/>
  <c r="O337" i="17"/>
  <c r="P103" i="17"/>
  <c r="P350" i="17"/>
  <c r="P416" i="17"/>
  <c r="P480" i="17"/>
  <c r="P544" i="17"/>
  <c r="P596" i="17"/>
  <c r="O18" i="17"/>
  <c r="O34" i="17"/>
  <c r="O50" i="17"/>
  <c r="O66" i="17"/>
  <c r="O82" i="17"/>
  <c r="O98" i="17"/>
  <c r="O114" i="17"/>
  <c r="O130" i="17"/>
  <c r="O146" i="17"/>
  <c r="O162" i="17"/>
  <c r="O178" i="17"/>
  <c r="O194" i="17"/>
  <c r="O210" i="17"/>
  <c r="O226" i="17"/>
  <c r="O242" i="17"/>
  <c r="O258" i="17"/>
  <c r="O274" i="17"/>
  <c r="O290" i="17"/>
  <c r="O306" i="17"/>
  <c r="P183" i="17"/>
  <c r="P372" i="17"/>
  <c r="P436" i="17"/>
  <c r="P500" i="17"/>
  <c r="P564" i="17"/>
  <c r="P604" i="17"/>
  <c r="O23" i="17"/>
  <c r="O39" i="17"/>
  <c r="O55" i="17"/>
  <c r="O71" i="17"/>
  <c r="P80" i="17"/>
  <c r="P336" i="17"/>
  <c r="P253" i="17"/>
  <c r="P170" i="17"/>
  <c r="P338" i="17"/>
  <c r="P405" i="17"/>
  <c r="P533" i="17"/>
  <c r="P613" i="17"/>
  <c r="P303" i="17"/>
  <c r="P402" i="17"/>
  <c r="P466" i="17"/>
  <c r="P530" i="17"/>
  <c r="P115" i="17"/>
  <c r="P355" i="17"/>
  <c r="P419" i="17"/>
  <c r="P483" i="17"/>
  <c r="P547" i="17"/>
  <c r="P87" i="17"/>
  <c r="P412" i="17"/>
  <c r="P540" i="17"/>
  <c r="O17" i="17"/>
  <c r="O49" i="17"/>
  <c r="O81" i="17"/>
  <c r="O113" i="17"/>
  <c r="O145" i="17"/>
  <c r="O177" i="17"/>
  <c r="O197" i="17"/>
  <c r="O217" i="17"/>
  <c r="O241" i="17"/>
  <c r="O261" i="17"/>
  <c r="O277" i="17"/>
  <c r="O293" i="17"/>
  <c r="O309" i="17"/>
  <c r="O325" i="17"/>
  <c r="O341" i="17"/>
  <c r="P167" i="17"/>
  <c r="P368" i="17"/>
  <c r="P432" i="17"/>
  <c r="P496" i="17"/>
  <c r="P560" i="17"/>
  <c r="P603" i="17"/>
  <c r="O22" i="17"/>
  <c r="O38" i="17"/>
  <c r="O54" i="17"/>
  <c r="O70" i="17"/>
  <c r="O86" i="17"/>
  <c r="O102" i="17"/>
  <c r="O118" i="17"/>
  <c r="O134" i="17"/>
  <c r="O150" i="17"/>
  <c r="O166" i="17"/>
  <c r="O182" i="17"/>
  <c r="O198" i="17"/>
  <c r="O214" i="17"/>
  <c r="O230" i="17"/>
  <c r="O246" i="17"/>
  <c r="O262" i="17"/>
  <c r="O278" i="17"/>
  <c r="O294" i="17"/>
  <c r="O310" i="17"/>
  <c r="P247" i="17"/>
  <c r="P388" i="17"/>
  <c r="P452" i="17"/>
  <c r="P516" i="17"/>
  <c r="P580" i="17"/>
  <c r="P610" i="17"/>
  <c r="O27" i="17"/>
  <c r="O43" i="17"/>
  <c r="O59" i="17"/>
  <c r="O75" i="17"/>
  <c r="O91" i="17"/>
  <c r="O107" i="17"/>
  <c r="O123" i="17"/>
  <c r="O139" i="17"/>
  <c r="O155" i="17"/>
  <c r="O171" i="17"/>
  <c r="O187" i="17"/>
  <c r="O203" i="17"/>
  <c r="O219" i="17"/>
  <c r="O235" i="17"/>
  <c r="O251" i="17"/>
  <c r="P360" i="17"/>
  <c r="P600" i="17"/>
  <c r="O68" i="17"/>
  <c r="O132" i="17"/>
  <c r="P144" i="17"/>
  <c r="P61" i="17"/>
  <c r="P317" i="17"/>
  <c r="P234" i="17"/>
  <c r="P187" i="17"/>
  <c r="P437" i="17"/>
  <c r="P565" i="17"/>
  <c r="P111" i="17"/>
  <c r="P354" i="17"/>
  <c r="P418" i="17"/>
  <c r="P482" i="17"/>
  <c r="P546" i="17"/>
  <c r="P179" i="17"/>
  <c r="P371" i="17"/>
  <c r="P435" i="17"/>
  <c r="P499" i="17"/>
  <c r="P563" i="17"/>
  <c r="P215" i="17"/>
  <c r="P444" i="17"/>
  <c r="P572" i="17"/>
  <c r="O25" i="17"/>
  <c r="O57" i="17"/>
  <c r="O89" i="17"/>
  <c r="O121" i="17"/>
  <c r="O153" i="17"/>
  <c r="O181" i="17"/>
  <c r="O201" i="17"/>
  <c r="O225" i="17"/>
  <c r="O245" i="17"/>
  <c r="O265" i="17"/>
  <c r="O281" i="17"/>
  <c r="O297" i="17"/>
  <c r="O313" i="17"/>
  <c r="O329" i="17"/>
  <c r="O345" i="17"/>
  <c r="P231" i="17"/>
  <c r="P384" i="17"/>
  <c r="P448" i="17"/>
  <c r="P512" i="17"/>
  <c r="P576" i="17"/>
  <c r="P608" i="17"/>
  <c r="O26" i="17"/>
  <c r="O42" i="17"/>
  <c r="O58" i="17"/>
  <c r="O74" i="17"/>
  <c r="O90" i="17"/>
  <c r="O106" i="17"/>
  <c r="O122" i="17"/>
  <c r="O138" i="17"/>
  <c r="O154" i="17"/>
  <c r="O170" i="17"/>
  <c r="O186" i="17"/>
  <c r="O202" i="17"/>
  <c r="O218" i="17"/>
  <c r="O234" i="17"/>
  <c r="O250" i="17"/>
  <c r="O266" i="17"/>
  <c r="O282" i="17"/>
  <c r="O298" i="17"/>
  <c r="O314" i="17"/>
  <c r="P311" i="17"/>
  <c r="P404" i="17"/>
  <c r="P468" i="17"/>
  <c r="P532" i="17"/>
  <c r="P590" i="17"/>
  <c r="P13" i="17"/>
  <c r="O31" i="17"/>
  <c r="O47" i="17"/>
  <c r="O63" i="17"/>
  <c r="O79" i="17"/>
  <c r="O95" i="17"/>
  <c r="O111" i="17"/>
  <c r="O127" i="17"/>
  <c r="O143" i="17"/>
  <c r="O159" i="17"/>
  <c r="O175" i="17"/>
  <c r="O191" i="17"/>
  <c r="O207" i="17"/>
  <c r="O223" i="17"/>
  <c r="O239" i="17"/>
  <c r="O255" i="17"/>
  <c r="P424" i="17"/>
  <c r="O20" i="17"/>
  <c r="O84" i="17"/>
  <c r="O148" i="17"/>
  <c r="O212" i="17"/>
  <c r="O268" i="17"/>
  <c r="O300" i="17"/>
  <c r="O327" i="17"/>
  <c r="O348" i="17"/>
  <c r="O365" i="17"/>
  <c r="O381" i="17"/>
  <c r="O397" i="17"/>
  <c r="O413" i="17"/>
  <c r="O429" i="17"/>
  <c r="O445" i="17"/>
  <c r="O461" i="17"/>
  <c r="O477" i="17"/>
  <c r="O493" i="17"/>
  <c r="O509" i="17"/>
  <c r="O525" i="17"/>
  <c r="O541" i="17"/>
  <c r="P208" i="17"/>
  <c r="P315" i="17"/>
  <c r="P370" i="17"/>
  <c r="P243" i="17"/>
  <c r="P579" i="17"/>
  <c r="O33" i="17"/>
  <c r="O161" i="17"/>
  <c r="O249" i="17"/>
  <c r="O317" i="17"/>
  <c r="P400" i="17"/>
  <c r="P14" i="17"/>
  <c r="O78" i="17"/>
  <c r="O142" i="17"/>
  <c r="O206" i="17"/>
  <c r="O270" i="17"/>
  <c r="P356" i="17"/>
  <c r="P598" i="17"/>
  <c r="O67" i="17"/>
  <c r="O103" i="17"/>
  <c r="O135" i="17"/>
  <c r="O167" i="17"/>
  <c r="O199" i="17"/>
  <c r="O231" i="17"/>
  <c r="P135" i="17"/>
  <c r="O52" i="17"/>
  <c r="O180" i="17"/>
  <c r="O260" i="17"/>
  <c r="O308" i="17"/>
  <c r="O338" i="17"/>
  <c r="O361" i="17"/>
  <c r="O385" i="17"/>
  <c r="O405" i="17"/>
  <c r="O425" i="17"/>
  <c r="O449" i="17"/>
  <c r="O469" i="17"/>
  <c r="O489" i="17"/>
  <c r="O513" i="17"/>
  <c r="O533" i="17"/>
  <c r="O553" i="17"/>
  <c r="O569" i="17"/>
  <c r="O585" i="17"/>
  <c r="O601" i="17"/>
  <c r="P199" i="17"/>
  <c r="P568" i="17"/>
  <c r="O56" i="17"/>
  <c r="O120" i="17"/>
  <c r="O184" i="17"/>
  <c r="O248" i="17"/>
  <c r="O287" i="17"/>
  <c r="O318" i="17"/>
  <c r="O339" i="17"/>
  <c r="O358" i="17"/>
  <c r="O374" i="17"/>
  <c r="O390" i="17"/>
  <c r="O406" i="17"/>
  <c r="O422" i="17"/>
  <c r="O438" i="17"/>
  <c r="O454" i="17"/>
  <c r="O470" i="17"/>
  <c r="O486" i="17"/>
  <c r="O502" i="17"/>
  <c r="O518" i="17"/>
  <c r="O534" i="17"/>
  <c r="O550" i="17"/>
  <c r="O566" i="17"/>
  <c r="O582" i="17"/>
  <c r="O598" i="17"/>
  <c r="P456" i="17"/>
  <c r="O28" i="17"/>
  <c r="O92" i="17"/>
  <c r="O156" i="17"/>
  <c r="O220" i="17"/>
  <c r="O272" i="17"/>
  <c r="O304" i="17"/>
  <c r="O330" i="17"/>
  <c r="O351" i="17"/>
  <c r="O367" i="17"/>
  <c r="O383" i="17"/>
  <c r="O399" i="17"/>
  <c r="O415" i="17"/>
  <c r="O431" i="17"/>
  <c r="O447" i="17"/>
  <c r="O463" i="17"/>
  <c r="O479" i="17"/>
  <c r="O495" i="17"/>
  <c r="O511" i="17"/>
  <c r="O527" i="17"/>
  <c r="O543" i="17"/>
  <c r="O559" i="17"/>
  <c r="O575" i="17"/>
  <c r="O591" i="17"/>
  <c r="O607" i="17"/>
  <c r="P327" i="17"/>
  <c r="O192" i="17"/>
  <c r="O342" i="17"/>
  <c r="O408" i="17"/>
  <c r="O472" i="17"/>
  <c r="O536" i="17"/>
  <c r="O600" i="17"/>
  <c r="P125" i="17"/>
  <c r="P469" i="17"/>
  <c r="P434" i="17"/>
  <c r="P387" i="17"/>
  <c r="P342" i="17"/>
  <c r="O65" i="17"/>
  <c r="O185" i="17"/>
  <c r="O269" i="17"/>
  <c r="O333" i="17"/>
  <c r="P464" i="17"/>
  <c r="O30" i="17"/>
  <c r="O94" i="17"/>
  <c r="O158" i="17"/>
  <c r="O222" i="17"/>
  <c r="O286" i="17"/>
  <c r="P420" i="17"/>
  <c r="O19" i="17"/>
  <c r="O83" i="17"/>
  <c r="O115" i="17"/>
  <c r="O147" i="17"/>
  <c r="O179" i="17"/>
  <c r="O211" i="17"/>
  <c r="O243" i="17"/>
  <c r="P488" i="17"/>
  <c r="O100" i="17"/>
  <c r="O196" i="17"/>
  <c r="O276" i="17"/>
  <c r="O316" i="17"/>
  <c r="O343" i="17"/>
  <c r="O369" i="17"/>
  <c r="O389" i="17"/>
  <c r="O409" i="17"/>
  <c r="O433" i="17"/>
  <c r="O453" i="17"/>
  <c r="O473" i="17"/>
  <c r="O497" i="17"/>
  <c r="O517" i="17"/>
  <c r="O537" i="17"/>
  <c r="O557" i="17"/>
  <c r="O573" i="17"/>
  <c r="O589" i="17"/>
  <c r="O605" i="17"/>
  <c r="P376" i="17"/>
  <c r="P606" i="17"/>
  <c r="O72" i="17"/>
  <c r="O136" i="17"/>
  <c r="O200" i="17"/>
  <c r="O263" i="17"/>
  <c r="O295" i="17"/>
  <c r="O323" i="17"/>
  <c r="O344" i="17"/>
  <c r="O362" i="17"/>
  <c r="O378" i="17"/>
  <c r="O394" i="17"/>
  <c r="O410" i="17"/>
  <c r="O426" i="17"/>
  <c r="O442" i="17"/>
  <c r="O458" i="17"/>
  <c r="O474" i="17"/>
  <c r="O490" i="17"/>
  <c r="O506" i="17"/>
  <c r="O522" i="17"/>
  <c r="O538" i="17"/>
  <c r="O554" i="17"/>
  <c r="O570" i="17"/>
  <c r="O586" i="17"/>
  <c r="O602" i="17"/>
  <c r="P520" i="17"/>
  <c r="O44" i="17"/>
  <c r="O108" i="17"/>
  <c r="O172" i="17"/>
  <c r="O236" i="17"/>
  <c r="O280" i="17"/>
  <c r="O312" i="17"/>
  <c r="O335" i="17"/>
  <c r="O355" i="17"/>
  <c r="O371" i="17"/>
  <c r="O387" i="17"/>
  <c r="O403" i="17"/>
  <c r="O419" i="17"/>
  <c r="O435" i="17"/>
  <c r="O451" i="17"/>
  <c r="O467" i="17"/>
  <c r="O483" i="17"/>
  <c r="O499" i="17"/>
  <c r="O515" i="17"/>
  <c r="O531" i="17"/>
  <c r="O547" i="17"/>
  <c r="O563" i="17"/>
  <c r="O579" i="17"/>
  <c r="O595" i="17"/>
  <c r="O611" i="17"/>
  <c r="P592" i="17"/>
  <c r="O256" i="17"/>
  <c r="O360" i="17"/>
  <c r="O424" i="17"/>
  <c r="O488" i="17"/>
  <c r="O552" i="17"/>
  <c r="P42" i="17"/>
  <c r="P498" i="17"/>
  <c r="P476" i="17"/>
  <c r="O209" i="17"/>
  <c r="O349" i="17"/>
  <c r="O46" i="17"/>
  <c r="O174" i="17"/>
  <c r="O302" i="17"/>
  <c r="O35" i="17"/>
  <c r="O119" i="17"/>
  <c r="O183" i="17"/>
  <c r="O247" i="17"/>
  <c r="O116" i="17"/>
  <c r="O284" i="17"/>
  <c r="O353" i="17"/>
  <c r="O393" i="17"/>
  <c r="O437" i="17"/>
  <c r="O481" i="17"/>
  <c r="O521" i="17"/>
  <c r="O561" i="17"/>
  <c r="O593" i="17"/>
  <c r="O24" i="17"/>
  <c r="O152" i="17"/>
  <c r="O271" i="17"/>
  <c r="O328" i="17"/>
  <c r="O366" i="17"/>
  <c r="O398" i="17"/>
  <c r="O430" i="17"/>
  <c r="O462" i="17"/>
  <c r="O494" i="17"/>
  <c r="O526" i="17"/>
  <c r="O558" i="17"/>
  <c r="O590" i="17"/>
  <c r="P584" i="17"/>
  <c r="O124" i="17"/>
  <c r="O252" i="17"/>
  <c r="O319" i="17"/>
  <c r="O359" i="17"/>
  <c r="O391" i="17"/>
  <c r="O423" i="17"/>
  <c r="O455" i="17"/>
  <c r="O487" i="17"/>
  <c r="O519" i="17"/>
  <c r="O551" i="17"/>
  <c r="O583" i="17"/>
  <c r="O64" i="17"/>
  <c r="O376" i="17"/>
  <c r="O504" i="17"/>
  <c r="P408" i="17"/>
  <c r="O208" i="17"/>
  <c r="O347" i="17"/>
  <c r="O412" i="17"/>
  <c r="O476" i="17"/>
  <c r="O540" i="17"/>
  <c r="O604" i="17"/>
  <c r="O96" i="17"/>
  <c r="O307" i="17"/>
  <c r="O384" i="17"/>
  <c r="O448" i="17"/>
  <c r="O512" i="17"/>
  <c r="O576" i="17"/>
  <c r="P274" i="17"/>
  <c r="P562" i="17"/>
  <c r="P594" i="17"/>
  <c r="O229" i="17"/>
  <c r="P295" i="17"/>
  <c r="O62" i="17"/>
  <c r="O190" i="17"/>
  <c r="P119" i="17"/>
  <c r="O51" i="17"/>
  <c r="O131" i="17"/>
  <c r="O195" i="17"/>
  <c r="O259" i="17"/>
  <c r="O164" i="17"/>
  <c r="O292" i="17"/>
  <c r="O357" i="17"/>
  <c r="O401" i="17"/>
  <c r="O441" i="17"/>
  <c r="O485" i="17"/>
  <c r="O529" i="17"/>
  <c r="O565" i="17"/>
  <c r="O597" i="17"/>
  <c r="O40" i="17"/>
  <c r="O168" i="17"/>
  <c r="O279" i="17"/>
  <c r="O334" i="17"/>
  <c r="O370" i="17"/>
  <c r="O402" i="17"/>
  <c r="O434" i="17"/>
  <c r="O466" i="17"/>
  <c r="O498" i="17"/>
  <c r="O530" i="17"/>
  <c r="O562" i="17"/>
  <c r="O594" i="17"/>
  <c r="P611" i="17"/>
  <c r="O140" i="17"/>
  <c r="O264" i="17"/>
  <c r="O324" i="17"/>
  <c r="O363" i="17"/>
  <c r="O395" i="17"/>
  <c r="O427" i="17"/>
  <c r="O459" i="17"/>
  <c r="O491" i="17"/>
  <c r="O523" i="17"/>
  <c r="O555" i="17"/>
  <c r="O587" i="17"/>
  <c r="O128" i="17"/>
  <c r="O392" i="17"/>
  <c r="O520" i="17"/>
  <c r="O15" i="17"/>
  <c r="O267" i="17"/>
  <c r="O364" i="17"/>
  <c r="O428" i="17"/>
  <c r="O492" i="17"/>
  <c r="O556" i="17"/>
  <c r="O160" i="17"/>
  <c r="O331" i="17"/>
  <c r="O400" i="17"/>
  <c r="O464" i="17"/>
  <c r="O528" i="17"/>
  <c r="O592" i="17"/>
  <c r="P581" i="17"/>
  <c r="O97" i="17"/>
  <c r="P528" i="17"/>
  <c r="O238" i="17"/>
  <c r="O87" i="17"/>
  <c r="O215" i="17"/>
  <c r="O228" i="17"/>
  <c r="O373" i="17"/>
  <c r="O457" i="17"/>
  <c r="O545" i="17"/>
  <c r="O609" i="17"/>
  <c r="O88" i="17"/>
  <c r="O303" i="17"/>
  <c r="O382" i="17"/>
  <c r="O446" i="17"/>
  <c r="O510" i="17"/>
  <c r="O574" i="17"/>
  <c r="P263" i="17"/>
  <c r="O188" i="17"/>
  <c r="O340" i="17"/>
  <c r="O407" i="17"/>
  <c r="O471" i="17"/>
  <c r="O535" i="17"/>
  <c r="O599" i="17"/>
  <c r="O291" i="17"/>
  <c r="O568" i="17"/>
  <c r="O299" i="17"/>
  <c r="O444" i="17"/>
  <c r="O572" i="17"/>
  <c r="O224" i="17"/>
  <c r="O416" i="17"/>
  <c r="O544" i="17"/>
  <c r="O420" i="17"/>
  <c r="O48" i="17"/>
  <c r="O500" i="17"/>
  <c r="O336" i="17"/>
  <c r="O388" i="17"/>
  <c r="O596" i="17"/>
  <c r="P451" i="17"/>
  <c r="O110" i="17"/>
  <c r="P552" i="17"/>
  <c r="O417" i="17"/>
  <c r="O577" i="17"/>
  <c r="O216" i="17"/>
  <c r="O414" i="17"/>
  <c r="O542" i="17"/>
  <c r="O60" i="17"/>
  <c r="O439" i="17"/>
  <c r="O567" i="17"/>
  <c r="O380" i="17"/>
  <c r="P472" i="17"/>
  <c r="O480" i="17"/>
  <c r="O240" i="17"/>
  <c r="O532" i="17"/>
  <c r="P175" i="17"/>
  <c r="O129" i="17"/>
  <c r="P588" i="17"/>
  <c r="O254" i="17"/>
  <c r="O99" i="17"/>
  <c r="O227" i="17"/>
  <c r="O244" i="17"/>
  <c r="O377" i="17"/>
  <c r="O465" i="17"/>
  <c r="O549" i="17"/>
  <c r="O613" i="17"/>
  <c r="O104" i="17"/>
  <c r="O311" i="17"/>
  <c r="O386" i="17"/>
  <c r="O450" i="17"/>
  <c r="O514" i="17"/>
  <c r="O578" i="17"/>
  <c r="P392" i="17"/>
  <c r="O204" i="17"/>
  <c r="O346" i="17"/>
  <c r="O411" i="17"/>
  <c r="O475" i="17"/>
  <c r="O539" i="17"/>
  <c r="O603" i="17"/>
  <c r="O320" i="17"/>
  <c r="O584" i="17"/>
  <c r="O326" i="17"/>
  <c r="O460" i="17"/>
  <c r="O588" i="17"/>
  <c r="O275" i="17"/>
  <c r="O432" i="17"/>
  <c r="O560" i="17"/>
  <c r="P536" i="17"/>
  <c r="O484" i="17"/>
  <c r="O283" i="17"/>
  <c r="O564" i="17"/>
  <c r="O468" i="17"/>
  <c r="O452" i="17"/>
  <c r="O285" i="17"/>
  <c r="P484" i="17"/>
  <c r="O151" i="17"/>
  <c r="O322" i="17"/>
  <c r="O501" i="17"/>
  <c r="P440" i="17"/>
  <c r="O350" i="17"/>
  <c r="O478" i="17"/>
  <c r="O606" i="17"/>
  <c r="O288" i="17"/>
  <c r="O375" i="17"/>
  <c r="O503" i="17"/>
  <c r="O440" i="17"/>
  <c r="O80" i="17"/>
  <c r="O508" i="17"/>
  <c r="O352" i="17"/>
  <c r="O608" i="17"/>
  <c r="O548" i="17"/>
  <c r="O372" i="17"/>
  <c r="P515" i="17"/>
  <c r="O163" i="17"/>
  <c r="O505" i="17"/>
  <c r="O418" i="17"/>
  <c r="O76" i="17"/>
  <c r="O507" i="17"/>
  <c r="O524" i="17"/>
  <c r="O368" i="17"/>
  <c r="O612" i="17"/>
  <c r="O436" i="17"/>
  <c r="O516" i="17"/>
  <c r="O332" i="17"/>
  <c r="O546" i="17"/>
  <c r="O379" i="17"/>
  <c r="O144" i="17"/>
  <c r="O14" i="17"/>
  <c r="P548" i="17"/>
  <c r="O421" i="17"/>
  <c r="O610" i="17"/>
  <c r="O443" i="17"/>
  <c r="O32" i="17"/>
  <c r="O356" i="17"/>
  <c r="O315" i="17"/>
  <c r="O301" i="17"/>
  <c r="O36" i="17"/>
  <c r="O581" i="17"/>
  <c r="P504" i="17"/>
  <c r="O482" i="17"/>
  <c r="O296" i="17"/>
  <c r="O571" i="17"/>
  <c r="O496" i="17"/>
  <c r="O580" i="17"/>
  <c r="O126" i="17"/>
  <c r="O232" i="17"/>
  <c r="O112" i="17"/>
  <c r="O176" i="17"/>
  <c r="O354" i="17"/>
  <c r="O456" i="17"/>
  <c r="O396" i="17"/>
  <c r="O404" i="17"/>
  <c r="D340" i="2"/>
  <c r="B54" i="21"/>
  <c r="B56" i="21"/>
  <c r="K128" i="2"/>
  <c r="B402" i="2"/>
  <c r="A42" i="16"/>
  <c r="B377" i="2" l="1"/>
  <c r="A377" i="2"/>
  <c r="D376" i="2"/>
  <c r="B398" i="2"/>
  <c r="A397" i="2"/>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Z206" i="17"/>
  <c r="Z207" i="17"/>
  <c r="Z208" i="17"/>
  <c r="Z209" i="17"/>
  <c r="Z210" i="17"/>
  <c r="Z211" i="17"/>
  <c r="Z212" i="17"/>
  <c r="Z213" i="17"/>
  <c r="Z214" i="17"/>
  <c r="Z215" i="17"/>
  <c r="Z216" i="17"/>
  <c r="Z217" i="17"/>
  <c r="Z218" i="17"/>
  <c r="Z219" i="17"/>
  <c r="Z220" i="17"/>
  <c r="Z221" i="17"/>
  <c r="Z222" i="17"/>
  <c r="Z223" i="17"/>
  <c r="Z224" i="17"/>
  <c r="Z225" i="17"/>
  <c r="Z226" i="17"/>
  <c r="Z227" i="17"/>
  <c r="Z228" i="17"/>
  <c r="Z229" i="17"/>
  <c r="Z230" i="17"/>
  <c r="Z231" i="17"/>
  <c r="Z232" i="17"/>
  <c r="Z233" i="17"/>
  <c r="Z234" i="17"/>
  <c r="Z235" i="17"/>
  <c r="Z236" i="17"/>
  <c r="Z237" i="17"/>
  <c r="Z238" i="17"/>
  <c r="Z239" i="17"/>
  <c r="Z240" i="17"/>
  <c r="Z241" i="17"/>
  <c r="Z242" i="17"/>
  <c r="Z243" i="17"/>
  <c r="Z244" i="17"/>
  <c r="Z245" i="17"/>
  <c r="Z246" i="17"/>
  <c r="Z247" i="17"/>
  <c r="Z248" i="17"/>
  <c r="Z249" i="17"/>
  <c r="Z250" i="17"/>
  <c r="Z251" i="17"/>
  <c r="Z252" i="17"/>
  <c r="Z253" i="17"/>
  <c r="Z254" i="17"/>
  <c r="Z255" i="17"/>
  <c r="Z256" i="17"/>
  <c r="Z257" i="17"/>
  <c r="Z258" i="17"/>
  <c r="Z259" i="17"/>
  <c r="Z260" i="17"/>
  <c r="Z261" i="17"/>
  <c r="Z262" i="17"/>
  <c r="Z263" i="17"/>
  <c r="Z264" i="17"/>
  <c r="Z265" i="17"/>
  <c r="Z266" i="17"/>
  <c r="Z267" i="17"/>
  <c r="Z268" i="17"/>
  <c r="Z269" i="17"/>
  <c r="Z270" i="17"/>
  <c r="Z271" i="17"/>
  <c r="Z272" i="17"/>
  <c r="Z273" i="17"/>
  <c r="Z274" i="17"/>
  <c r="Z275" i="17"/>
  <c r="Z276" i="17"/>
  <c r="Z277" i="17"/>
  <c r="Z278" i="17"/>
  <c r="Z279" i="17"/>
  <c r="Z280" i="17"/>
  <c r="Z281" i="17"/>
  <c r="Z282" i="17"/>
  <c r="Z283" i="17"/>
  <c r="Z284" i="17"/>
  <c r="Z285" i="17"/>
  <c r="Z286" i="17"/>
  <c r="Z287" i="17"/>
  <c r="Z288" i="17"/>
  <c r="Z289" i="17"/>
  <c r="Z290" i="17"/>
  <c r="Z291" i="17"/>
  <c r="Z292" i="17"/>
  <c r="Z293" i="17"/>
  <c r="Z294" i="17"/>
  <c r="Z295" i="17"/>
  <c r="Z296" i="17"/>
  <c r="Z297" i="17"/>
  <c r="Z298" i="17"/>
  <c r="Z299" i="17"/>
  <c r="Z300" i="17"/>
  <c r="Z301" i="17"/>
  <c r="Z302" i="17"/>
  <c r="Z303" i="17"/>
  <c r="Z304" i="17"/>
  <c r="Z305" i="17"/>
  <c r="Z306" i="17"/>
  <c r="Z307" i="17"/>
  <c r="Z308" i="17"/>
  <c r="Z309" i="17"/>
  <c r="Z310" i="17"/>
  <c r="Z311" i="17"/>
  <c r="Z312" i="17"/>
  <c r="Z313" i="17"/>
  <c r="Z314" i="17"/>
  <c r="Z315" i="17"/>
  <c r="Z316" i="17"/>
  <c r="Z317" i="17"/>
  <c r="Z318" i="17"/>
  <c r="Z319" i="17"/>
  <c r="Z320" i="17"/>
  <c r="Z321" i="17"/>
  <c r="Z322" i="17"/>
  <c r="Z323" i="17"/>
  <c r="Z324" i="17"/>
  <c r="Z325" i="17"/>
  <c r="Z326" i="17"/>
  <c r="Z327" i="17"/>
  <c r="Z328" i="17"/>
  <c r="Z329" i="17"/>
  <c r="Z330" i="17"/>
  <c r="Z331" i="17"/>
  <c r="Z332" i="17"/>
  <c r="Z333" i="17"/>
  <c r="Z334" i="17"/>
  <c r="Z335" i="17"/>
  <c r="Z336" i="17"/>
  <c r="Z337" i="17"/>
  <c r="Z338" i="17"/>
  <c r="Z339" i="17"/>
  <c r="Z340" i="17"/>
  <c r="Z341" i="17"/>
  <c r="Z342" i="17"/>
  <c r="Z343" i="17"/>
  <c r="Z344" i="17"/>
  <c r="Z345" i="17"/>
  <c r="Z346" i="17"/>
  <c r="Z347" i="17"/>
  <c r="Z348" i="17"/>
  <c r="Z349" i="17"/>
  <c r="Z350" i="17"/>
  <c r="Z351" i="17"/>
  <c r="Z352" i="17"/>
  <c r="Z353" i="17"/>
  <c r="Z354" i="17"/>
  <c r="Z355" i="17"/>
  <c r="Z356" i="17"/>
  <c r="Z357" i="17"/>
  <c r="Z358" i="17"/>
  <c r="Z359" i="17"/>
  <c r="Z360" i="17"/>
  <c r="Z361" i="17"/>
  <c r="Z362" i="17"/>
  <c r="Z363" i="17"/>
  <c r="Z364" i="17"/>
  <c r="Z365" i="17"/>
  <c r="Z366" i="17"/>
  <c r="Z367" i="17"/>
  <c r="Z368" i="17"/>
  <c r="Z369" i="17"/>
  <c r="Z370" i="17"/>
  <c r="Z371" i="17"/>
  <c r="Z372" i="17"/>
  <c r="Z373" i="17"/>
  <c r="Z374" i="17"/>
  <c r="Z375" i="17"/>
  <c r="Z376" i="17"/>
  <c r="Z377" i="17"/>
  <c r="Z378" i="17"/>
  <c r="Z379" i="17"/>
  <c r="Z380" i="17"/>
  <c r="Z381" i="17"/>
  <c r="Z382" i="17"/>
  <c r="Z383" i="17"/>
  <c r="Z384" i="17"/>
  <c r="Z385" i="17"/>
  <c r="Z386" i="17"/>
  <c r="Z387" i="17"/>
  <c r="Z388" i="17"/>
  <c r="Z389" i="17"/>
  <c r="Z390" i="17"/>
  <c r="Z391" i="17"/>
  <c r="Z392" i="17"/>
  <c r="Z393" i="17"/>
  <c r="Z394" i="17"/>
  <c r="Z395" i="17"/>
  <c r="Z396" i="17"/>
  <c r="Z397" i="17"/>
  <c r="Z398" i="17"/>
  <c r="Z399" i="17"/>
  <c r="Z400" i="17"/>
  <c r="Z401" i="17"/>
  <c r="Z402" i="17"/>
  <c r="Z403" i="17"/>
  <c r="Z404" i="17"/>
  <c r="Z405" i="17"/>
  <c r="Z406" i="17"/>
  <c r="Z407" i="17"/>
  <c r="Z408" i="17"/>
  <c r="Z409" i="17"/>
  <c r="Z410" i="17"/>
  <c r="Z411" i="17"/>
  <c r="Z412" i="17"/>
  <c r="Z413" i="17"/>
  <c r="Z414" i="17"/>
  <c r="Z415" i="17"/>
  <c r="Z416" i="17"/>
  <c r="Z417" i="17"/>
  <c r="Z418" i="17"/>
  <c r="Z419" i="17"/>
  <c r="Z420" i="17"/>
  <c r="Z421" i="17"/>
  <c r="Z422" i="17"/>
  <c r="Z423" i="17"/>
  <c r="Z424" i="17"/>
  <c r="Z425" i="17"/>
  <c r="Z426" i="17"/>
  <c r="Z427" i="17"/>
  <c r="Z428" i="17"/>
  <c r="Z429" i="17"/>
  <c r="Z430" i="17"/>
  <c r="Z431" i="17"/>
  <c r="Z432" i="17"/>
  <c r="Z433" i="17"/>
  <c r="Z434" i="17"/>
  <c r="Z435" i="17"/>
  <c r="Z436" i="17"/>
  <c r="Z437" i="17"/>
  <c r="Z438" i="17"/>
  <c r="Z439" i="17"/>
  <c r="Z440" i="17"/>
  <c r="Z441" i="17"/>
  <c r="Z442" i="17"/>
  <c r="Z443" i="17"/>
  <c r="Z444" i="17"/>
  <c r="Z445" i="17"/>
  <c r="Z446" i="17"/>
  <c r="Z447" i="17"/>
  <c r="Z448" i="17"/>
  <c r="Z449" i="17"/>
  <c r="Z450" i="17"/>
  <c r="Z451" i="17"/>
  <c r="Z452" i="17"/>
  <c r="Z453" i="17"/>
  <c r="Z454" i="17"/>
  <c r="Z455" i="17"/>
  <c r="Z456" i="17"/>
  <c r="Z457" i="17"/>
  <c r="Z458" i="17"/>
  <c r="Z459" i="17"/>
  <c r="Z460" i="17"/>
  <c r="Z461" i="17"/>
  <c r="Z462" i="17"/>
  <c r="Z463" i="17"/>
  <c r="Z464" i="17"/>
  <c r="Z465" i="17"/>
  <c r="Z466" i="17"/>
  <c r="Z467" i="17"/>
  <c r="Z468" i="17"/>
  <c r="Z469" i="17"/>
  <c r="Z470" i="17"/>
  <c r="Z471" i="17"/>
  <c r="Z472" i="17"/>
  <c r="Z473" i="17"/>
  <c r="Z474" i="17"/>
  <c r="Z475" i="17"/>
  <c r="Z476" i="17"/>
  <c r="Z477" i="17"/>
  <c r="Z478" i="17"/>
  <c r="Z479" i="17"/>
  <c r="Z480" i="17"/>
  <c r="Z481" i="17"/>
  <c r="Z482" i="17"/>
  <c r="Z483" i="17"/>
  <c r="Z484" i="17"/>
  <c r="Z485" i="17"/>
  <c r="Z486" i="17"/>
  <c r="Z487" i="17"/>
  <c r="Z488" i="17"/>
  <c r="Z489" i="17"/>
  <c r="Z490" i="17"/>
  <c r="Z491" i="17"/>
  <c r="Z492" i="17"/>
  <c r="Z493" i="17"/>
  <c r="Z494" i="17"/>
  <c r="Z495" i="17"/>
  <c r="Z496" i="17"/>
  <c r="Z497" i="17"/>
  <c r="Z498" i="17"/>
  <c r="Z499" i="17"/>
  <c r="Z500" i="17"/>
  <c r="Z501" i="17"/>
  <c r="Z502" i="17"/>
  <c r="Z503" i="17"/>
  <c r="Z504" i="17"/>
  <c r="Z505" i="17"/>
  <c r="Z506" i="17"/>
  <c r="Z507" i="17"/>
  <c r="Z508" i="17"/>
  <c r="Z509" i="17"/>
  <c r="Z510" i="17"/>
  <c r="Z511" i="17"/>
  <c r="Z512" i="17"/>
  <c r="Z513" i="17"/>
  <c r="Z514" i="17"/>
  <c r="Z515" i="17"/>
  <c r="Z516" i="17"/>
  <c r="Z517" i="17"/>
  <c r="Z518" i="17"/>
  <c r="Z519" i="17"/>
  <c r="Z520" i="17"/>
  <c r="Z521" i="17"/>
  <c r="Z522" i="17"/>
  <c r="Z523" i="17"/>
  <c r="Z524" i="17"/>
  <c r="Z525" i="17"/>
  <c r="Z526" i="17"/>
  <c r="Z527" i="17"/>
  <c r="Z528" i="17"/>
  <c r="Z529" i="17"/>
  <c r="Z530" i="17"/>
  <c r="Z531" i="17"/>
  <c r="Z532" i="17"/>
  <c r="Z533" i="17"/>
  <c r="Z534" i="17"/>
  <c r="Z535" i="17"/>
  <c r="Z536" i="17"/>
  <c r="Z537" i="17"/>
  <c r="Z538" i="17"/>
  <c r="Z539" i="17"/>
  <c r="Z540" i="17"/>
  <c r="Z541" i="17"/>
  <c r="Z542" i="17"/>
  <c r="Z543" i="17"/>
  <c r="Z544" i="17"/>
  <c r="Z545" i="17"/>
  <c r="Z546" i="17"/>
  <c r="Z547" i="17"/>
  <c r="Z548" i="17"/>
  <c r="Z549" i="17"/>
  <c r="Z550" i="17"/>
  <c r="Z551" i="17"/>
  <c r="Z552" i="17"/>
  <c r="Z553" i="17"/>
  <c r="Z554" i="17"/>
  <c r="Z555" i="17"/>
  <c r="Z556" i="17"/>
  <c r="Z557" i="17"/>
  <c r="Z558" i="17"/>
  <c r="Z559" i="17"/>
  <c r="Z560" i="17"/>
  <c r="Z561" i="17"/>
  <c r="Z562" i="17"/>
  <c r="Z563" i="17"/>
  <c r="Z564" i="17"/>
  <c r="Z565" i="17"/>
  <c r="Z566" i="17"/>
  <c r="Z567" i="17"/>
  <c r="Z568" i="17"/>
  <c r="Z569" i="17"/>
  <c r="Z570" i="17"/>
  <c r="Z571" i="17"/>
  <c r="Z572" i="17"/>
  <c r="Z573" i="17"/>
  <c r="Z574" i="17"/>
  <c r="Z575" i="17"/>
  <c r="Z576" i="17"/>
  <c r="Z577" i="17"/>
  <c r="Z578" i="17"/>
  <c r="Z579" i="17"/>
  <c r="Z580" i="17"/>
  <c r="Z581" i="17"/>
  <c r="Z582" i="17"/>
  <c r="Z583" i="17"/>
  <c r="Z584" i="17"/>
  <c r="Z585" i="17"/>
  <c r="Z586" i="17"/>
  <c r="Z587" i="17"/>
  <c r="Z588" i="17"/>
  <c r="Z589" i="17"/>
  <c r="Z590" i="17"/>
  <c r="Z591" i="17"/>
  <c r="Z592" i="17"/>
  <c r="Z593" i="17"/>
  <c r="Z594" i="17"/>
  <c r="Z595" i="17"/>
  <c r="Z596" i="17"/>
  <c r="Z597" i="17"/>
  <c r="Z598" i="17"/>
  <c r="Z599" i="17"/>
  <c r="Z600" i="17"/>
  <c r="Z601" i="17"/>
  <c r="Z602" i="17"/>
  <c r="Z603" i="17"/>
  <c r="Z604" i="17"/>
  <c r="Z605" i="17"/>
  <c r="Z606" i="17"/>
  <c r="Z607" i="17"/>
  <c r="Z608" i="17"/>
  <c r="Z609" i="17"/>
  <c r="Z610" i="17"/>
  <c r="Z611" i="17"/>
  <c r="Z612" i="17"/>
  <c r="Z613" i="17"/>
  <c r="I3" i="17" l="1"/>
  <c r="B413" i="2"/>
  <c r="A413" i="2"/>
  <c r="B219" i="2"/>
  <c r="B234" i="2" s="1"/>
  <c r="B95" i="2"/>
  <c r="E19" i="1" s="1"/>
  <c r="C49" i="16" l="1"/>
  <c r="B199" i="2"/>
  <c r="B412" i="2"/>
  <c r="A412" i="2"/>
  <c r="B411" i="2"/>
  <c r="A411" i="2"/>
  <c r="AI687" i="17" l="1"/>
  <c r="B14" i="17" l="1"/>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13" i="17"/>
  <c r="B221" i="2"/>
  <c r="U6" i="17"/>
  <c r="C6" i="17" l="1"/>
  <c r="A381" i="2"/>
  <c r="B191" i="2"/>
  <c r="B192" i="2" s="1"/>
  <c r="H3" i="8" s="1"/>
  <c r="B122" i="2"/>
  <c r="B77" i="2"/>
  <c r="B8" i="2"/>
  <c r="B449" i="2" s="1"/>
  <c r="B9" i="2"/>
  <c r="B383" i="2" l="1"/>
  <c r="F251" i="2"/>
  <c r="AO12" i="21"/>
  <c r="AO16" i="21"/>
  <c r="AO20" i="21"/>
  <c r="AO24" i="21"/>
  <c r="AO28" i="21"/>
  <c r="AO32" i="21"/>
  <c r="AO36" i="21"/>
  <c r="AO40" i="21"/>
  <c r="AO44" i="21"/>
  <c r="AO48" i="21"/>
  <c r="AO52" i="21"/>
  <c r="AO56" i="21"/>
  <c r="AO60" i="21"/>
  <c r="AO64" i="21"/>
  <c r="AO68" i="21"/>
  <c r="AO72" i="21"/>
  <c r="AO76" i="21"/>
  <c r="AO80" i="21"/>
  <c r="AO84" i="21"/>
  <c r="AO88" i="21"/>
  <c r="AO96" i="21"/>
  <c r="AO104" i="21"/>
  <c r="AO18" i="21"/>
  <c r="AO26" i="21"/>
  <c r="AO42" i="21"/>
  <c r="AO58" i="21"/>
  <c r="AO78" i="21"/>
  <c r="AO94" i="21"/>
  <c r="AO9" i="21"/>
  <c r="AO13" i="21"/>
  <c r="AO17" i="21"/>
  <c r="AO21" i="21"/>
  <c r="AO25" i="21"/>
  <c r="AO29" i="21"/>
  <c r="AO33" i="21"/>
  <c r="AO37" i="21"/>
  <c r="AO41" i="21"/>
  <c r="AO45" i="21"/>
  <c r="AO49" i="21"/>
  <c r="AO53" i="21"/>
  <c r="AO57" i="21"/>
  <c r="AO61" i="21"/>
  <c r="AO65" i="21"/>
  <c r="AO69" i="21"/>
  <c r="AO73" i="21"/>
  <c r="AO77" i="21"/>
  <c r="AO81" i="21"/>
  <c r="AO85" i="21"/>
  <c r="AO89" i="21"/>
  <c r="AO93" i="21"/>
  <c r="AO97" i="21"/>
  <c r="AO101" i="21"/>
  <c r="AO105" i="21"/>
  <c r="AO109" i="21"/>
  <c r="AO10" i="21"/>
  <c r="AO30" i="21"/>
  <c r="AO46" i="21"/>
  <c r="AO62" i="21"/>
  <c r="AO74" i="21"/>
  <c r="AO90" i="21"/>
  <c r="AO106" i="21"/>
  <c r="AO11" i="21"/>
  <c r="AO15" i="21"/>
  <c r="AO19" i="21"/>
  <c r="AO23" i="21"/>
  <c r="AO27" i="21"/>
  <c r="AO31" i="21"/>
  <c r="AO35" i="21"/>
  <c r="AO39" i="21"/>
  <c r="AO43" i="21"/>
  <c r="AO47" i="21"/>
  <c r="AO51" i="21"/>
  <c r="AO55" i="21"/>
  <c r="AO59" i="21"/>
  <c r="AO63" i="21"/>
  <c r="AO67" i="21"/>
  <c r="AO71" i="21"/>
  <c r="AO75" i="21"/>
  <c r="AO79" i="21"/>
  <c r="AO83" i="21"/>
  <c r="AO87" i="21"/>
  <c r="AO91" i="21"/>
  <c r="AO95" i="21"/>
  <c r="AO99" i="21"/>
  <c r="AO103" i="21"/>
  <c r="AO107" i="21"/>
  <c r="AO92" i="21"/>
  <c r="AO100" i="21"/>
  <c r="AO108" i="21"/>
  <c r="AO14" i="21"/>
  <c r="AO22" i="21"/>
  <c r="AO34" i="21"/>
  <c r="AO38" i="21"/>
  <c r="AO50" i="21"/>
  <c r="AO54" i="21"/>
  <c r="AO66" i="21"/>
  <c r="AO70" i="21"/>
  <c r="AO82" i="21"/>
  <c r="AO86" i="21"/>
  <c r="AO98" i="21"/>
  <c r="AO102" i="21"/>
  <c r="B39" i="2"/>
  <c r="D131" i="2" s="1"/>
  <c r="B38" i="2"/>
  <c r="H11" i="21"/>
  <c r="H13" i="21"/>
  <c r="H15" i="21"/>
  <c r="H17" i="21"/>
  <c r="H19" i="21"/>
  <c r="H21" i="21"/>
  <c r="H23" i="21"/>
  <c r="H25" i="21"/>
  <c r="H27" i="21"/>
  <c r="H29" i="21"/>
  <c r="H31" i="21"/>
  <c r="H33" i="21"/>
  <c r="H35" i="21"/>
  <c r="H37" i="21"/>
  <c r="H39" i="21"/>
  <c r="H41" i="21"/>
  <c r="H43" i="21"/>
  <c r="H45" i="21"/>
  <c r="H47" i="21"/>
  <c r="H49" i="21"/>
  <c r="H51" i="21"/>
  <c r="H53" i="21"/>
  <c r="H55" i="21"/>
  <c r="H57" i="21"/>
  <c r="H59" i="21"/>
  <c r="H61" i="21"/>
  <c r="H63" i="21"/>
  <c r="H65" i="21"/>
  <c r="H67" i="21"/>
  <c r="H69" i="21"/>
  <c r="H71" i="21"/>
  <c r="H73" i="21"/>
  <c r="H75" i="21"/>
  <c r="H77" i="21"/>
  <c r="H79" i="21"/>
  <c r="H81" i="21"/>
  <c r="H83" i="21"/>
  <c r="H85" i="21"/>
  <c r="H87" i="21"/>
  <c r="H89" i="21"/>
  <c r="H91" i="21"/>
  <c r="H93" i="21"/>
  <c r="H95" i="21"/>
  <c r="H97" i="21"/>
  <c r="H99" i="21"/>
  <c r="H101" i="21"/>
  <c r="H103" i="21"/>
  <c r="H105" i="21"/>
  <c r="H107" i="21"/>
  <c r="H109" i="21"/>
  <c r="H10" i="21"/>
  <c r="H12" i="21"/>
  <c r="H14" i="21"/>
  <c r="H16" i="21"/>
  <c r="H18" i="21"/>
  <c r="H20" i="21"/>
  <c r="H22" i="21"/>
  <c r="H24" i="21"/>
  <c r="H26" i="21"/>
  <c r="H28" i="21"/>
  <c r="H30" i="21"/>
  <c r="H32" i="21"/>
  <c r="H34" i="21"/>
  <c r="H36" i="21"/>
  <c r="H38" i="21"/>
  <c r="H40" i="21"/>
  <c r="H42" i="21"/>
  <c r="H44" i="21"/>
  <c r="H46" i="21"/>
  <c r="H48" i="21"/>
  <c r="H50" i="21"/>
  <c r="H52" i="21"/>
  <c r="H54" i="21"/>
  <c r="H56" i="21"/>
  <c r="H58" i="21"/>
  <c r="H60" i="21"/>
  <c r="H62" i="21"/>
  <c r="H64" i="21"/>
  <c r="H66" i="21"/>
  <c r="H68" i="21"/>
  <c r="H70" i="21"/>
  <c r="H72" i="21"/>
  <c r="H74" i="21"/>
  <c r="H76" i="21"/>
  <c r="H78" i="21"/>
  <c r="H80" i="21"/>
  <c r="H82" i="21"/>
  <c r="H84" i="21"/>
  <c r="H86" i="21"/>
  <c r="H88" i="21"/>
  <c r="H90" i="21"/>
  <c r="H92" i="21"/>
  <c r="H94" i="21"/>
  <c r="H96" i="21"/>
  <c r="H98" i="21"/>
  <c r="H100" i="21"/>
  <c r="H102" i="21"/>
  <c r="H104" i="21"/>
  <c r="H106" i="21"/>
  <c r="H108" i="21"/>
  <c r="H9" i="21"/>
  <c r="B11" i="21"/>
  <c r="B24" i="21"/>
  <c r="B436" i="2"/>
  <c r="B399" i="2"/>
  <c r="B227" i="2"/>
  <c r="B223" i="2"/>
  <c r="F135" i="2" l="1"/>
  <c r="F136" i="2"/>
  <c r="K132" i="2"/>
  <c r="K133" i="2"/>
  <c r="B16" i="21"/>
  <c r="A436" i="2"/>
  <c r="F3" i="17"/>
  <c r="B26" i="2" l="1"/>
  <c r="B42" i="2" s="1"/>
  <c r="B27" i="2" l="1"/>
  <c r="B206" i="2"/>
  <c r="B202" i="2" s="1"/>
  <c r="R12" i="8"/>
  <c r="B41" i="2"/>
  <c r="D240" i="2"/>
  <c r="B240" i="2" s="1"/>
  <c r="A97" i="27"/>
  <c r="B97" i="27" s="1"/>
  <c r="F443" i="2"/>
  <c r="D443" i="2"/>
  <c r="S13" i="8"/>
  <c r="B44" i="2"/>
  <c r="B13" i="21"/>
  <c r="B78" i="21"/>
  <c r="B29" i="2"/>
  <c r="B367" i="2"/>
  <c r="B238" i="2"/>
  <c r="N3" i="17"/>
  <c r="R21" i="8"/>
  <c r="D47" i="16"/>
  <c r="H22" i="2" l="1"/>
  <c r="B430" i="2"/>
  <c r="C97" i="27"/>
  <c r="H23" i="2"/>
  <c r="E97" i="27"/>
  <c r="R97" i="27" s="1"/>
  <c r="H443" i="2"/>
  <c r="B388" i="2"/>
  <c r="D97" i="27"/>
  <c r="S97" i="27" s="1"/>
  <c r="B289" i="2"/>
  <c r="B283" i="2"/>
  <c r="B297" i="2"/>
  <c r="D297" i="2" s="1"/>
  <c r="B391" i="2" s="1"/>
  <c r="B298" i="2"/>
  <c r="B25" i="2"/>
  <c r="N5" i="17"/>
  <c r="S12" i="8"/>
  <c r="J3" i="8"/>
  <c r="E26" i="1"/>
  <c r="A626" i="17"/>
  <c r="C636" i="17"/>
  <c r="I47" i="16"/>
  <c r="H24" i="2" l="1"/>
  <c r="Q97" i="27"/>
  <c r="AD97" i="27"/>
  <c r="AE97" i="27" s="1"/>
  <c r="AH97" i="27" s="1"/>
  <c r="I97" i="27"/>
  <c r="P626" i="17"/>
  <c r="O626" i="17"/>
  <c r="B31" i="2"/>
  <c r="B443" i="2" s="1"/>
  <c r="A390" i="2"/>
  <c r="B390" i="2"/>
  <c r="A391" i="2"/>
  <c r="B299" i="2"/>
  <c r="D299" i="2" s="1"/>
  <c r="C51" i="16"/>
  <c r="D51" i="16" s="1"/>
  <c r="D53" i="16"/>
  <c r="D55" i="16"/>
  <c r="C46" i="16"/>
  <c r="D45" i="16"/>
  <c r="D43" i="16"/>
  <c r="D42" i="16"/>
  <c r="D44" i="16"/>
  <c r="D39" i="16"/>
  <c r="F31" i="2" l="1"/>
  <c r="C443" i="2"/>
  <c r="E12" i="1" s="1"/>
  <c r="G59" i="27"/>
  <c r="A392" i="2"/>
  <c r="B392" i="2"/>
  <c r="G20" i="27"/>
  <c r="G42" i="27"/>
  <c r="L42" i="27" s="1"/>
  <c r="G54" i="27"/>
  <c r="G24" i="27"/>
  <c r="G48" i="27"/>
  <c r="G29" i="27"/>
  <c r="G49" i="27"/>
  <c r="G97" i="27"/>
  <c r="G34" i="27"/>
  <c r="G64" i="27"/>
  <c r="G33" i="27"/>
  <c r="G43" i="27"/>
  <c r="G65" i="27"/>
  <c r="G67" i="27"/>
  <c r="M67" i="27" s="1"/>
  <c r="G91" i="27"/>
  <c r="G73" i="27"/>
  <c r="G17" i="27"/>
  <c r="G63" i="27"/>
  <c r="M63" i="27" s="1"/>
  <c r="G32" i="27"/>
  <c r="G19" i="27"/>
  <c r="G68" i="27"/>
  <c r="G35" i="27"/>
  <c r="G92" i="27"/>
  <c r="G78" i="27"/>
  <c r="G87" i="27"/>
  <c r="G71" i="27"/>
  <c r="G16" i="27"/>
  <c r="G58" i="27"/>
  <c r="G60" i="27"/>
  <c r="G37" i="27"/>
  <c r="G86" i="27"/>
  <c r="G89" i="27"/>
  <c r="G80" i="27"/>
  <c r="G31" i="27"/>
  <c r="G50" i="27"/>
  <c r="G95" i="27"/>
  <c r="G51" i="27"/>
  <c r="G41" i="27"/>
  <c r="G40" i="27"/>
  <c r="G15" i="27"/>
  <c r="G52" i="27"/>
  <c r="G39" i="27"/>
  <c r="G47" i="27"/>
  <c r="G61" i="27"/>
  <c r="G28" i="27"/>
  <c r="G81" i="27"/>
  <c r="G21" i="27"/>
  <c r="G30" i="27"/>
  <c r="G25" i="27"/>
  <c r="G93" i="27"/>
  <c r="G57" i="27"/>
  <c r="G74" i="27"/>
  <c r="G55" i="27"/>
  <c r="G85" i="27"/>
  <c r="G72" i="27"/>
  <c r="G79" i="27"/>
  <c r="G69" i="27"/>
  <c r="G36" i="27"/>
  <c r="G27" i="27"/>
  <c r="G88" i="27"/>
  <c r="G22" i="27"/>
  <c r="G83" i="27"/>
  <c r="G62" i="27"/>
  <c r="G96" i="27"/>
  <c r="G18" i="27"/>
  <c r="G70" i="27"/>
  <c r="G76" i="27"/>
  <c r="G53" i="27"/>
  <c r="G45" i="27"/>
  <c r="G13" i="27"/>
  <c r="G82" i="27"/>
  <c r="G38" i="27"/>
  <c r="G77" i="27"/>
  <c r="G66" i="27"/>
  <c r="G90" i="27"/>
  <c r="G75" i="27"/>
  <c r="G23" i="27"/>
  <c r="G14" i="27"/>
  <c r="G94" i="27"/>
  <c r="G44" i="27"/>
  <c r="G26" i="27"/>
  <c r="G84" i="27"/>
  <c r="G46" i="27"/>
  <c r="G56" i="27"/>
  <c r="F63" i="1"/>
  <c r="L87" i="27" l="1"/>
  <c r="AF87" i="27"/>
  <c r="AG87" i="27"/>
  <c r="L65" i="27"/>
  <c r="AF65" i="27"/>
  <c r="AG65" i="27"/>
  <c r="L20" i="27"/>
  <c r="AF20" i="27"/>
  <c r="AG20" i="27"/>
  <c r="AF94" i="27"/>
  <c r="AG94" i="27"/>
  <c r="AF82" i="27"/>
  <c r="AG82" i="27"/>
  <c r="AF79" i="27"/>
  <c r="AG79" i="27"/>
  <c r="AF25" i="27"/>
  <c r="AG25" i="27"/>
  <c r="AF52" i="27"/>
  <c r="AG52" i="27"/>
  <c r="M71" i="27"/>
  <c r="AF71" i="27"/>
  <c r="AG71" i="27"/>
  <c r="L63" i="27"/>
  <c r="AF63" i="27"/>
  <c r="AG63" i="27"/>
  <c r="M64" i="27"/>
  <c r="AF64" i="27"/>
  <c r="AG64" i="27"/>
  <c r="M42" i="27"/>
  <c r="AF42" i="27"/>
  <c r="AG42" i="27"/>
  <c r="AF84" i="27"/>
  <c r="AG84" i="27"/>
  <c r="AF66" i="27"/>
  <c r="AG66" i="27"/>
  <c r="AF70" i="27"/>
  <c r="AG70" i="27"/>
  <c r="AF27" i="27"/>
  <c r="AG27" i="27"/>
  <c r="AF30" i="27"/>
  <c r="AG30" i="27"/>
  <c r="AF15" i="27"/>
  <c r="AG15" i="27"/>
  <c r="AF95" i="27"/>
  <c r="AG95" i="27"/>
  <c r="L80" i="27"/>
  <c r="AF80" i="27"/>
  <c r="AG80" i="27"/>
  <c r="M60" i="27"/>
  <c r="AF60" i="27"/>
  <c r="AG60" i="27"/>
  <c r="M68" i="27"/>
  <c r="AF68" i="27"/>
  <c r="AG68" i="27"/>
  <c r="L17" i="27"/>
  <c r="AF17" i="27"/>
  <c r="AG17" i="27"/>
  <c r="L34" i="27"/>
  <c r="AF34" i="27"/>
  <c r="AG34" i="27"/>
  <c r="L48" i="27"/>
  <c r="AF48" i="27"/>
  <c r="AG48" i="27"/>
  <c r="AF26" i="27"/>
  <c r="AG26" i="27"/>
  <c r="AF23" i="27"/>
  <c r="AG23" i="27"/>
  <c r="AF77" i="27"/>
  <c r="AG77" i="27"/>
  <c r="AF45" i="27"/>
  <c r="AG45" i="27"/>
  <c r="AF18" i="27"/>
  <c r="AG18" i="27"/>
  <c r="AF83" i="27"/>
  <c r="AG83" i="27"/>
  <c r="AF36" i="27"/>
  <c r="AG36" i="27"/>
  <c r="AF85" i="27"/>
  <c r="AG85" i="27"/>
  <c r="AF57" i="27"/>
  <c r="AG57" i="27"/>
  <c r="AF21" i="27"/>
  <c r="AG21" i="27"/>
  <c r="AF47" i="27"/>
  <c r="AG47" i="27"/>
  <c r="AF40" i="27"/>
  <c r="AG40" i="27"/>
  <c r="AF50" i="27"/>
  <c r="AG50" i="27"/>
  <c r="M89" i="27"/>
  <c r="AF89" i="27"/>
  <c r="AG89" i="27"/>
  <c r="M58" i="27"/>
  <c r="AF58" i="27"/>
  <c r="AG58" i="27"/>
  <c r="L78" i="27"/>
  <c r="AF78" i="27"/>
  <c r="AG78" i="27"/>
  <c r="M19" i="27"/>
  <c r="AF19" i="27"/>
  <c r="AG19" i="27"/>
  <c r="M73" i="27"/>
  <c r="AF73" i="27"/>
  <c r="AG73" i="27"/>
  <c r="L43" i="27"/>
  <c r="AF43" i="27"/>
  <c r="AG43" i="27"/>
  <c r="M97" i="27"/>
  <c r="AF97" i="27"/>
  <c r="AG97" i="27"/>
  <c r="M24" i="27"/>
  <c r="AF24" i="27"/>
  <c r="AG24" i="27"/>
  <c r="AF46" i="27"/>
  <c r="AG46" i="27"/>
  <c r="AF90" i="27"/>
  <c r="AG90" i="27"/>
  <c r="AF76" i="27"/>
  <c r="AG76" i="27"/>
  <c r="AF88" i="27"/>
  <c r="AG88" i="27"/>
  <c r="AF28" i="27"/>
  <c r="AG28" i="27"/>
  <c r="AF51" i="27"/>
  <c r="AG51" i="27"/>
  <c r="L37" i="27"/>
  <c r="AF37" i="27"/>
  <c r="AG37" i="27"/>
  <c r="M35" i="27"/>
  <c r="AF35" i="27"/>
  <c r="AG35" i="27"/>
  <c r="L67" i="27"/>
  <c r="AF67" i="27"/>
  <c r="AG67" i="27"/>
  <c r="L29" i="27"/>
  <c r="AF29" i="27"/>
  <c r="AG29" i="27"/>
  <c r="L59" i="27"/>
  <c r="AF59" i="27"/>
  <c r="AG59" i="27"/>
  <c r="AF14" i="27"/>
  <c r="AG14" i="27"/>
  <c r="AF13" i="27"/>
  <c r="AG13" i="27"/>
  <c r="AF62" i="27"/>
  <c r="AG62" i="27"/>
  <c r="AF72" i="27"/>
  <c r="AG72" i="27"/>
  <c r="AF74" i="27"/>
  <c r="AG74" i="27"/>
  <c r="AF61" i="27"/>
  <c r="AG61" i="27"/>
  <c r="AF56" i="27"/>
  <c r="AG56" i="27"/>
  <c r="AF44" i="27"/>
  <c r="AG44" i="27"/>
  <c r="AF75" i="27"/>
  <c r="AG75" i="27"/>
  <c r="AF38" i="27"/>
  <c r="AG38" i="27"/>
  <c r="AF53" i="27"/>
  <c r="AG53" i="27"/>
  <c r="AF96" i="27"/>
  <c r="AG96" i="27"/>
  <c r="AF22" i="27"/>
  <c r="AG22" i="27"/>
  <c r="AF69" i="27"/>
  <c r="AG69" i="27"/>
  <c r="AF55" i="27"/>
  <c r="AG55" i="27"/>
  <c r="AF93" i="27"/>
  <c r="AG93" i="27"/>
  <c r="AF81" i="27"/>
  <c r="AG81" i="27"/>
  <c r="AF39" i="27"/>
  <c r="AG39" i="27"/>
  <c r="AF41" i="27"/>
  <c r="AG41" i="27"/>
  <c r="AF31" i="27"/>
  <c r="AG31" i="27"/>
  <c r="L86" i="27"/>
  <c r="AF86" i="27"/>
  <c r="AG86" i="27"/>
  <c r="L16" i="27"/>
  <c r="AF16" i="27"/>
  <c r="AG16" i="27"/>
  <c r="L92" i="27"/>
  <c r="AF92" i="27"/>
  <c r="AG92" i="27"/>
  <c r="L32" i="27"/>
  <c r="AF32" i="27"/>
  <c r="AG32" i="27"/>
  <c r="L91" i="27"/>
  <c r="AF91" i="27"/>
  <c r="AG91" i="27"/>
  <c r="L33" i="27"/>
  <c r="AF33" i="27"/>
  <c r="AG33" i="27"/>
  <c r="L49" i="27"/>
  <c r="AF49" i="27"/>
  <c r="AG49" i="27"/>
  <c r="L54" i="27"/>
  <c r="AF54" i="27"/>
  <c r="AG54" i="27"/>
  <c r="L64" i="27"/>
  <c r="M59" i="27"/>
  <c r="M37" i="27"/>
  <c r="L35" i="27"/>
  <c r="L71" i="27"/>
  <c r="M29" i="27"/>
  <c r="M54" i="27"/>
  <c r="M34" i="27"/>
  <c r="M17" i="27"/>
  <c r="M48" i="27"/>
  <c r="L68" i="27"/>
  <c r="M87" i="27"/>
  <c r="M65" i="27"/>
  <c r="M20" i="27"/>
  <c r="M80" i="27"/>
  <c r="L60" i="27"/>
  <c r="M49" i="27"/>
  <c r="M33" i="27"/>
  <c r="M32" i="27"/>
  <c r="M92" i="27"/>
  <c r="L89" i="27"/>
  <c r="M43" i="27"/>
  <c r="L19" i="27"/>
  <c r="M78" i="27"/>
  <c r="L58" i="27"/>
  <c r="L24" i="27"/>
  <c r="L97" i="27"/>
  <c r="L73" i="27"/>
  <c r="M91" i="27"/>
  <c r="M16" i="27"/>
  <c r="M86" i="27"/>
  <c r="M66" i="27"/>
  <c r="L66" i="27"/>
  <c r="L52" i="27"/>
  <c r="M52" i="27"/>
  <c r="M26" i="27"/>
  <c r="L26" i="27"/>
  <c r="L45" i="27"/>
  <c r="M45" i="27"/>
  <c r="L22" i="27"/>
  <c r="M22" i="27"/>
  <c r="L30" i="27"/>
  <c r="M30" i="27"/>
  <c r="L61" i="27"/>
  <c r="M61" i="27"/>
  <c r="L15" i="27"/>
  <c r="M15" i="27"/>
  <c r="M95" i="27"/>
  <c r="L95" i="27"/>
  <c r="L84" i="27"/>
  <c r="M84" i="27"/>
  <c r="M13" i="27"/>
  <c r="L13" i="27"/>
  <c r="L83" i="27"/>
  <c r="M83" i="27"/>
  <c r="L85" i="27"/>
  <c r="M85" i="27"/>
  <c r="L25" i="27"/>
  <c r="M25" i="27"/>
  <c r="L51" i="27"/>
  <c r="M51" i="27"/>
  <c r="M23" i="27"/>
  <c r="L23" i="27"/>
  <c r="M18" i="27"/>
  <c r="L18" i="27"/>
  <c r="M69" i="27"/>
  <c r="L69" i="27"/>
  <c r="M56" i="27"/>
  <c r="L56" i="27"/>
  <c r="M44" i="27"/>
  <c r="L44" i="27"/>
  <c r="M75" i="27"/>
  <c r="L75" i="27"/>
  <c r="M38" i="27"/>
  <c r="L38" i="27"/>
  <c r="L53" i="27"/>
  <c r="M53" i="27"/>
  <c r="M96" i="27"/>
  <c r="L96" i="27"/>
  <c r="M88" i="27"/>
  <c r="L88" i="27"/>
  <c r="L79" i="27"/>
  <c r="M79" i="27"/>
  <c r="M57" i="27"/>
  <c r="L57" i="27"/>
  <c r="L21" i="27"/>
  <c r="M21" i="27"/>
  <c r="L47" i="27"/>
  <c r="M47" i="27"/>
  <c r="M40" i="27"/>
  <c r="L40" i="27"/>
  <c r="M50" i="27"/>
  <c r="L50" i="27"/>
  <c r="M14" i="27"/>
  <c r="L14" i="27"/>
  <c r="M70" i="27"/>
  <c r="L70" i="27"/>
  <c r="L36" i="27"/>
  <c r="M36" i="27"/>
  <c r="M28" i="27"/>
  <c r="L28" i="27"/>
  <c r="L77" i="27"/>
  <c r="M77" i="27"/>
  <c r="M55" i="27"/>
  <c r="L55" i="27"/>
  <c r="L74" i="27"/>
  <c r="M74" i="27"/>
  <c r="M46" i="27"/>
  <c r="L46" i="27"/>
  <c r="L94" i="27"/>
  <c r="M94" i="27"/>
  <c r="M90" i="27"/>
  <c r="L90" i="27"/>
  <c r="M82" i="27"/>
  <c r="L82" i="27"/>
  <c r="M76" i="27"/>
  <c r="L76" i="27"/>
  <c r="L62" i="27"/>
  <c r="M62" i="27"/>
  <c r="L27" i="27"/>
  <c r="M27" i="27"/>
  <c r="M72" i="27"/>
  <c r="L72" i="27"/>
  <c r="L93" i="27"/>
  <c r="M93" i="27"/>
  <c r="L81" i="27"/>
  <c r="M81" i="27"/>
  <c r="L39" i="27"/>
  <c r="M39" i="27"/>
  <c r="M41" i="27"/>
  <c r="L41" i="27"/>
  <c r="M31" i="27"/>
  <c r="L31" i="27"/>
  <c r="B126" i="2"/>
  <c r="B46" i="2"/>
  <c r="B140" i="2"/>
  <c r="B351" i="2"/>
  <c r="AM42" i="21" s="1"/>
  <c r="B337" i="2"/>
  <c r="B42" i="21" s="1"/>
  <c r="B47" i="2"/>
  <c r="B380" i="2" s="1"/>
  <c r="B7" i="2"/>
  <c r="B150" i="2"/>
  <c r="B330" i="2"/>
  <c r="R10" i="8"/>
  <c r="B350" i="2"/>
  <c r="B167" i="2"/>
  <c r="B332" i="2"/>
  <c r="B362" i="2" s="1"/>
  <c r="B342" i="2"/>
  <c r="B333" i="2"/>
  <c r="B334" i="2"/>
  <c r="B41" i="21" s="1"/>
  <c r="B339" i="2"/>
  <c r="B338" i="2"/>
  <c r="B43" i="21" s="1"/>
  <c r="B345" i="2"/>
  <c r="B312" i="2"/>
  <c r="B156" i="2"/>
  <c r="B331" i="2"/>
  <c r="D7" i="6"/>
  <c r="D6" i="6"/>
  <c r="D10" i="6"/>
  <c r="D9" i="6"/>
  <c r="D2" i="11"/>
  <c r="D3" i="11"/>
  <c r="B5" i="11"/>
  <c r="D5" i="11" s="1"/>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39" i="8"/>
  <c r="A51" i="8" s="1"/>
  <c r="A63" i="8" s="1"/>
  <c r="A75" i="8" s="1"/>
  <c r="A87" i="8" s="1"/>
  <c r="A99" i="8" s="1"/>
  <c r="A111" i="8" s="1"/>
  <c r="A123" i="8" s="1"/>
  <c r="A135" i="8" s="1"/>
  <c r="A147" i="8" s="1"/>
  <c r="A159" i="8" s="1"/>
  <c r="A40" i="8"/>
  <c r="A52" i="8" s="1"/>
  <c r="A64" i="8" s="1"/>
  <c r="A76" i="8" s="1"/>
  <c r="A88" i="8" s="1"/>
  <c r="A100" i="8" s="1"/>
  <c r="A112" i="8" s="1"/>
  <c r="A124" i="8" s="1"/>
  <c r="A136" i="8" s="1"/>
  <c r="A148" i="8" s="1"/>
  <c r="A41" i="8"/>
  <c r="A53" i="8" s="1"/>
  <c r="A65" i="8" s="1"/>
  <c r="A77" i="8" s="1"/>
  <c r="A89" i="8" s="1"/>
  <c r="A101" i="8" s="1"/>
  <c r="A113" i="8" s="1"/>
  <c r="A125" i="8" s="1"/>
  <c r="A137" i="8" s="1"/>
  <c r="A149" i="8" s="1"/>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7" i="8" s="1"/>
  <c r="A69" i="8" s="1"/>
  <c r="A81" i="8" s="1"/>
  <c r="A93" i="8" s="1"/>
  <c r="A105" i="8" s="1"/>
  <c r="A117" i="8" s="1"/>
  <c r="A129" i="8" s="1"/>
  <c r="A141" i="8" s="1"/>
  <c r="A153" i="8" s="1"/>
  <c r="A50" i="8"/>
  <c r="A62" i="8" s="1"/>
  <c r="A74" i="8" s="1"/>
  <c r="A86" i="8" s="1"/>
  <c r="A98" i="8" s="1"/>
  <c r="A110" i="8" s="1"/>
  <c r="A122" i="8" s="1"/>
  <c r="A134" i="8" s="1"/>
  <c r="A146" i="8" s="1"/>
  <c r="A158" i="8" s="1"/>
  <c r="A56" i="8"/>
  <c r="A68" i="8" s="1"/>
  <c r="A80" i="8" s="1"/>
  <c r="A92" i="8" s="1"/>
  <c r="A104" i="8" s="1"/>
  <c r="A116" i="8" s="1"/>
  <c r="A128" i="8" s="1"/>
  <c r="A140" i="8" s="1"/>
  <c r="A152" i="8" s="1"/>
  <c r="B116" i="2"/>
  <c r="A395" i="2"/>
  <c r="A417" i="2"/>
  <c r="B447" i="2"/>
  <c r="A36" i="16" l="1"/>
  <c r="B146" i="2"/>
  <c r="B143" i="2"/>
  <c r="D147" i="2"/>
  <c r="B404" i="2"/>
  <c r="B301" i="2"/>
  <c r="R14" i="8" s="1"/>
  <c r="S14" i="8" s="1"/>
  <c r="D301" i="2" s="1"/>
  <c r="B405" i="2" s="1"/>
  <c r="AI49" i="27"/>
  <c r="AK49" i="27" s="1"/>
  <c r="AM49" i="27" s="1"/>
  <c r="AI92" i="27"/>
  <c r="AK92" i="27" s="1"/>
  <c r="AM92" i="27" s="1"/>
  <c r="AI29" i="27"/>
  <c r="AK29" i="27" s="1"/>
  <c r="AM29" i="27" s="1"/>
  <c r="AI51" i="27"/>
  <c r="AK51" i="27" s="1"/>
  <c r="AM51" i="27" s="1"/>
  <c r="AI88" i="27"/>
  <c r="AK88" i="27" s="1"/>
  <c r="AM88" i="27" s="1"/>
  <c r="AI90" i="27"/>
  <c r="AK90" i="27" s="1"/>
  <c r="AN90" i="27" s="1"/>
  <c r="AI24" i="27"/>
  <c r="AK24" i="27" s="1"/>
  <c r="AN24" i="27" s="1"/>
  <c r="AI19" i="27"/>
  <c r="AK19" i="27" s="1"/>
  <c r="AN19" i="27" s="1"/>
  <c r="AI50" i="27"/>
  <c r="AK50" i="27" s="1"/>
  <c r="AN50" i="27" s="1"/>
  <c r="AI47" i="27"/>
  <c r="AK47" i="27" s="1"/>
  <c r="AN47" i="27" s="1"/>
  <c r="AI57" i="27"/>
  <c r="AK57" i="27" s="1"/>
  <c r="AN57" i="27" s="1"/>
  <c r="AI36" i="27"/>
  <c r="AK36" i="27" s="1"/>
  <c r="AN36" i="27" s="1"/>
  <c r="AI18" i="27"/>
  <c r="AK18" i="27" s="1"/>
  <c r="AM18" i="27" s="1"/>
  <c r="AI77" i="27"/>
  <c r="AK77" i="27" s="1"/>
  <c r="AN77" i="27" s="1"/>
  <c r="AI26" i="27"/>
  <c r="AK26" i="27" s="1"/>
  <c r="AM26" i="27" s="1"/>
  <c r="AI17" i="27"/>
  <c r="AK17" i="27" s="1"/>
  <c r="AN17" i="27" s="1"/>
  <c r="AI95" i="27"/>
  <c r="AK95" i="27" s="1"/>
  <c r="AN95" i="27" s="1"/>
  <c r="AI30" i="27"/>
  <c r="AK30" i="27" s="1"/>
  <c r="AM30" i="27" s="1"/>
  <c r="AI70" i="27"/>
  <c r="AK70" i="27" s="1"/>
  <c r="AM70" i="27" s="1"/>
  <c r="AI84" i="27"/>
  <c r="AK84" i="27" s="1"/>
  <c r="AM84" i="27" s="1"/>
  <c r="AI91" i="27"/>
  <c r="AK91" i="27" s="1"/>
  <c r="AM91" i="27" s="1"/>
  <c r="AI86" i="27"/>
  <c r="AK86" i="27" s="1"/>
  <c r="AM86" i="27" s="1"/>
  <c r="AI35" i="27"/>
  <c r="AK35" i="27" s="1"/>
  <c r="AN35" i="27" s="1"/>
  <c r="AI76" i="27"/>
  <c r="AK76" i="27" s="1"/>
  <c r="AM76" i="27" s="1"/>
  <c r="AI46" i="27"/>
  <c r="AK46" i="27" s="1"/>
  <c r="AN46" i="27" s="1"/>
  <c r="AI43" i="27"/>
  <c r="AK43" i="27" s="1"/>
  <c r="AN43" i="27" s="1"/>
  <c r="AI58" i="27"/>
  <c r="AK58" i="27" s="1"/>
  <c r="AM58" i="27" s="1"/>
  <c r="AI40" i="27"/>
  <c r="AK40" i="27" s="1"/>
  <c r="AN40" i="27" s="1"/>
  <c r="AI21" i="27"/>
  <c r="AK21" i="27" s="1"/>
  <c r="AM21" i="27" s="1"/>
  <c r="AI85" i="27"/>
  <c r="AK85" i="27" s="1"/>
  <c r="AM85" i="27" s="1"/>
  <c r="AI83" i="27"/>
  <c r="AK83" i="27" s="1"/>
  <c r="AM83" i="27" s="1"/>
  <c r="AI45" i="27"/>
  <c r="AK45" i="27" s="1"/>
  <c r="AM45" i="27" s="1"/>
  <c r="AI23" i="27"/>
  <c r="AK23" i="27" s="1"/>
  <c r="AN23" i="27" s="1"/>
  <c r="AI48" i="27"/>
  <c r="AK48" i="27" s="1"/>
  <c r="AN48" i="27" s="1"/>
  <c r="AI63" i="27"/>
  <c r="AK63" i="27" s="1"/>
  <c r="AM63" i="27" s="1"/>
  <c r="AI15" i="27"/>
  <c r="AK15" i="27" s="1"/>
  <c r="AN15" i="27" s="1"/>
  <c r="AI25" i="27"/>
  <c r="AK25" i="27" s="1"/>
  <c r="AM25" i="27" s="1"/>
  <c r="AI82" i="27"/>
  <c r="AK82" i="27" s="1"/>
  <c r="AN82" i="27" s="1"/>
  <c r="AI20" i="27"/>
  <c r="AK20" i="27" s="1"/>
  <c r="AN20" i="27" s="1"/>
  <c r="AI27" i="27"/>
  <c r="AK27" i="27" s="1"/>
  <c r="AM27" i="27" s="1"/>
  <c r="AI87" i="27"/>
  <c r="AK87" i="27" s="1"/>
  <c r="AN87" i="27" s="1"/>
  <c r="AI66" i="27"/>
  <c r="AK66" i="27" s="1"/>
  <c r="AN66" i="27" s="1"/>
  <c r="AI42" i="27"/>
  <c r="AK42" i="27" s="1"/>
  <c r="AM42" i="27" s="1"/>
  <c r="AI52" i="27"/>
  <c r="AK52" i="27" s="1"/>
  <c r="AN52" i="27" s="1"/>
  <c r="AI54" i="27"/>
  <c r="AK54" i="27" s="1"/>
  <c r="AI32" i="27"/>
  <c r="AK32" i="27" s="1"/>
  <c r="AI31" i="27"/>
  <c r="AK31" i="27" s="1"/>
  <c r="AI39" i="27"/>
  <c r="AK39" i="27" s="1"/>
  <c r="AI93" i="27"/>
  <c r="AK93" i="27" s="1"/>
  <c r="AI69" i="27"/>
  <c r="AK69" i="27" s="1"/>
  <c r="AI96" i="27"/>
  <c r="AK96" i="27" s="1"/>
  <c r="AI38" i="27"/>
  <c r="AK38" i="27" s="1"/>
  <c r="AI44" i="27"/>
  <c r="AK44" i="27" s="1"/>
  <c r="AI61" i="27"/>
  <c r="AK61" i="27" s="1"/>
  <c r="AI72" i="27"/>
  <c r="AK72" i="27" s="1"/>
  <c r="AI59" i="27"/>
  <c r="AK59" i="27" s="1"/>
  <c r="AI37" i="27"/>
  <c r="AK37" i="27" s="1"/>
  <c r="AI28" i="27"/>
  <c r="AK28" i="27" s="1"/>
  <c r="AI73" i="27"/>
  <c r="AK73" i="27" s="1"/>
  <c r="AI89" i="27"/>
  <c r="AK89" i="27" s="1"/>
  <c r="AI34" i="27"/>
  <c r="AK34" i="27" s="1"/>
  <c r="AI60" i="27"/>
  <c r="AK60" i="27" s="1"/>
  <c r="AI80" i="27"/>
  <c r="AK80" i="27" s="1"/>
  <c r="AI64" i="27"/>
  <c r="AK64" i="27" s="1"/>
  <c r="AI79" i="27"/>
  <c r="AK79" i="27" s="1"/>
  <c r="AI94" i="27"/>
  <c r="AK94" i="27" s="1"/>
  <c r="AI33" i="27"/>
  <c r="AK33" i="27" s="1"/>
  <c r="AI16" i="27"/>
  <c r="AK16" i="27" s="1"/>
  <c r="AI41" i="27"/>
  <c r="AK41" i="27" s="1"/>
  <c r="AI81" i="27"/>
  <c r="AK81" i="27" s="1"/>
  <c r="AI55" i="27"/>
  <c r="AK55" i="27" s="1"/>
  <c r="AI22" i="27"/>
  <c r="AK22" i="27" s="1"/>
  <c r="AI53" i="27"/>
  <c r="AK53" i="27" s="1"/>
  <c r="AI75" i="27"/>
  <c r="AK75" i="27" s="1"/>
  <c r="AI56" i="27"/>
  <c r="AK56" i="27" s="1"/>
  <c r="AI74" i="27"/>
  <c r="AK74" i="27" s="1"/>
  <c r="AI62" i="27"/>
  <c r="AK62" i="27" s="1"/>
  <c r="AI14" i="27"/>
  <c r="AK14" i="27" s="1"/>
  <c r="AI67" i="27"/>
  <c r="AK67" i="27" s="1"/>
  <c r="AI97" i="27"/>
  <c r="AK97" i="27" s="1"/>
  <c r="AI78" i="27"/>
  <c r="AK78" i="27" s="1"/>
  <c r="AI68" i="27"/>
  <c r="AK68" i="27" s="1"/>
  <c r="AI71" i="27"/>
  <c r="AK71" i="27" s="1"/>
  <c r="AI65" i="27"/>
  <c r="AK65" i="27" s="1"/>
  <c r="B169"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AM67" i="21"/>
  <c r="AM100" i="21"/>
  <c r="AM23" i="21"/>
  <c r="AM11" i="21"/>
  <c r="AM33" i="21"/>
  <c r="AM69" i="21"/>
  <c r="AM43" i="21"/>
  <c r="AM64" i="21"/>
  <c r="AM77" i="21"/>
  <c r="AM55" i="21"/>
  <c r="AM82" i="21"/>
  <c r="AM99" i="21"/>
  <c r="AM27" i="21"/>
  <c r="AM44" i="21"/>
  <c r="AM101" i="21"/>
  <c r="AM53" i="21"/>
  <c r="AM104" i="21"/>
  <c r="AM46" i="21"/>
  <c r="AM21" i="21"/>
  <c r="AM13" i="21"/>
  <c r="AM65" i="21"/>
  <c r="AM45" i="21"/>
  <c r="AM81" i="21"/>
  <c r="AM48" i="21"/>
  <c r="AM57" i="21"/>
  <c r="AM105" i="21"/>
  <c r="AM80" i="21"/>
  <c r="AM29" i="21"/>
  <c r="AM61" i="21"/>
  <c r="AM72" i="21"/>
  <c r="AM89" i="21"/>
  <c r="AM93" i="21"/>
  <c r="AM56" i="21"/>
  <c r="AM92" i="21"/>
  <c r="AM91" i="21"/>
  <c r="AM49" i="21"/>
  <c r="AM12" i="21"/>
  <c r="AM24" i="21"/>
  <c r="AM10" i="21"/>
  <c r="AM73" i="21"/>
  <c r="AM70" i="21"/>
  <c r="AM34" i="21"/>
  <c r="AM54" i="21"/>
  <c r="AM39" i="21"/>
  <c r="AM90" i="21"/>
  <c r="AM109" i="21"/>
  <c r="AM38" i="21"/>
  <c r="AM28" i="21"/>
  <c r="AM15" i="21"/>
  <c r="AM88" i="21"/>
  <c r="AM83" i="21"/>
  <c r="AM87" i="21"/>
  <c r="AM75" i="21"/>
  <c r="AM9" i="21"/>
  <c r="AM51" i="21"/>
  <c r="AM17" i="21"/>
  <c r="AM103" i="21"/>
  <c r="AM63" i="21"/>
  <c r="AM32" i="21"/>
  <c r="AM31" i="21"/>
  <c r="AM94" i="21"/>
  <c r="AM62" i="21"/>
  <c r="AM50" i="21"/>
  <c r="AM20" i="21"/>
  <c r="AM85" i="21"/>
  <c r="AM26" i="21"/>
  <c r="AM41" i="21"/>
  <c r="AM68" i="21"/>
  <c r="AM86" i="21"/>
  <c r="AM37" i="21"/>
  <c r="AM58" i="21"/>
  <c r="AM96" i="21"/>
  <c r="AM107" i="21"/>
  <c r="AM66" i="21"/>
  <c r="AM59" i="21"/>
  <c r="AM76" i="21"/>
  <c r="AM35" i="21"/>
  <c r="AM19" i="21"/>
  <c r="AM14" i="21"/>
  <c r="AM74" i="21"/>
  <c r="AM98" i="21"/>
  <c r="AM30" i="21"/>
  <c r="AM95" i="21"/>
  <c r="AM47" i="21"/>
  <c r="AM60" i="21"/>
  <c r="AM97" i="21"/>
  <c r="AM22" i="21"/>
  <c r="AM71" i="21"/>
  <c r="AM106" i="21"/>
  <c r="AM18" i="21"/>
  <c r="AM102" i="21"/>
  <c r="AM79" i="21"/>
  <c r="AM16" i="21"/>
  <c r="AM78" i="21"/>
  <c r="AM25" i="21"/>
  <c r="AM52" i="21"/>
  <c r="AM36" i="21"/>
  <c r="AM84" i="21"/>
  <c r="AM108" i="21"/>
  <c r="AM40" i="21"/>
  <c r="B144" i="2"/>
  <c r="B340" i="2"/>
  <c r="AP4" i="21"/>
  <c r="AR4" i="21" s="1"/>
  <c r="AP17" i="21"/>
  <c r="AP81" i="21"/>
  <c r="AP90" i="21"/>
  <c r="AP106" i="21"/>
  <c r="AP55" i="21"/>
  <c r="AP48" i="21"/>
  <c r="AP3" i="21"/>
  <c r="AP29" i="21"/>
  <c r="AP95" i="21"/>
  <c r="AP53" i="21"/>
  <c r="AP50" i="21"/>
  <c r="AR9" i="21"/>
  <c r="AP40" i="21"/>
  <c r="AP34" i="21"/>
  <c r="AP27" i="21"/>
  <c r="AP56" i="21"/>
  <c r="AP13" i="21"/>
  <c r="AP9" i="21"/>
  <c r="AP88" i="21"/>
  <c r="AP25" i="21"/>
  <c r="AP89" i="21"/>
  <c r="AP102" i="21"/>
  <c r="AP99" i="21"/>
  <c r="AP63" i="21"/>
  <c r="AP68" i="21"/>
  <c r="AP10" i="21"/>
  <c r="AP67" i="21"/>
  <c r="AP39" i="21"/>
  <c r="AP51" i="21"/>
  <c r="AP101" i="21"/>
  <c r="AP91" i="21"/>
  <c r="AP84" i="21"/>
  <c r="AP78" i="21"/>
  <c r="AP33" i="21"/>
  <c r="AP97" i="21"/>
  <c r="AP71" i="21"/>
  <c r="AP14" i="21"/>
  <c r="AP75" i="21"/>
  <c r="AP100" i="21"/>
  <c r="AP61" i="21"/>
  <c r="AP26" i="21"/>
  <c r="AP64" i="21"/>
  <c r="AP69" i="21"/>
  <c r="AP74" i="21"/>
  <c r="AP66" i="21"/>
  <c r="AP43" i="21"/>
  <c r="AP12" i="21"/>
  <c r="AP76" i="21"/>
  <c r="AP45" i="21"/>
  <c r="AP42" i="21"/>
  <c r="AP35" i="21"/>
  <c r="AP41" i="21"/>
  <c r="AP105" i="21"/>
  <c r="AP87" i="21"/>
  <c r="AP16" i="21"/>
  <c r="AP22" i="21"/>
  <c r="AP15" i="21"/>
  <c r="AP107" i="21"/>
  <c r="AP92" i="21"/>
  <c r="AP62" i="21"/>
  <c r="AP94" i="21"/>
  <c r="AP44" i="21"/>
  <c r="AP65" i="21"/>
  <c r="AP104" i="21"/>
  <c r="AP79" i="21"/>
  <c r="AP60" i="21"/>
  <c r="AP82" i="21"/>
  <c r="AP28" i="21"/>
  <c r="AP49" i="21"/>
  <c r="AP46" i="21"/>
  <c r="AP103" i="21"/>
  <c r="AP32" i="21"/>
  <c r="AP30" i="21"/>
  <c r="AP23" i="21"/>
  <c r="AP96" i="21"/>
  <c r="AP93" i="21"/>
  <c r="AP19" i="21"/>
  <c r="AP80" i="21"/>
  <c r="AP21" i="21"/>
  <c r="AP85" i="21"/>
  <c r="AP98" i="21"/>
  <c r="AP83" i="21"/>
  <c r="AP59" i="21"/>
  <c r="AP52" i="21"/>
  <c r="AP77" i="21"/>
  <c r="AP24" i="21"/>
  <c r="AP57" i="21"/>
  <c r="AP58" i="21"/>
  <c r="AP38" i="21"/>
  <c r="AP20" i="21"/>
  <c r="AP31" i="21"/>
  <c r="AP72" i="21"/>
  <c r="AP36" i="21"/>
  <c r="AP70" i="21"/>
  <c r="AP54" i="21"/>
  <c r="AP86" i="21"/>
  <c r="AP37" i="21"/>
  <c r="AP18" i="21"/>
  <c r="AP11" i="21"/>
  <c r="AP109" i="21"/>
  <c r="AP73" i="21"/>
  <c r="AP47" i="21"/>
  <c r="AP108" i="21"/>
  <c r="D380" i="2"/>
  <c r="B54" i="2"/>
  <c r="B53" i="2"/>
  <c r="B52" i="2"/>
  <c r="B164" i="2" s="1"/>
  <c r="B366" i="2"/>
  <c r="AR13" i="21"/>
  <c r="AR17" i="21"/>
  <c r="AR21" i="21"/>
  <c r="AR25" i="21"/>
  <c r="AR29" i="21"/>
  <c r="AR33" i="21"/>
  <c r="AR37" i="21"/>
  <c r="AR41" i="21"/>
  <c r="AR45" i="21"/>
  <c r="AR49" i="21"/>
  <c r="AR53" i="21"/>
  <c r="AR57" i="21"/>
  <c r="AR61" i="21"/>
  <c r="AR65" i="21"/>
  <c r="AR69" i="21"/>
  <c r="AR73" i="21"/>
  <c r="AR77" i="21"/>
  <c r="AR81" i="21"/>
  <c r="AR85" i="21"/>
  <c r="AR89" i="21"/>
  <c r="AR93" i="21"/>
  <c r="AR97" i="21"/>
  <c r="AR101" i="21"/>
  <c r="AR105" i="21"/>
  <c r="AR109" i="21"/>
  <c r="AR11" i="21"/>
  <c r="AR19" i="21"/>
  <c r="AR23" i="21"/>
  <c r="AR31" i="21"/>
  <c r="AR39" i="21"/>
  <c r="AR47" i="21"/>
  <c r="AR55" i="21"/>
  <c r="AR67" i="21"/>
  <c r="AR75" i="21"/>
  <c r="AR83" i="21"/>
  <c r="AR91" i="21"/>
  <c r="AR99" i="21"/>
  <c r="AR107" i="21"/>
  <c r="AR28" i="21"/>
  <c r="AR36" i="21"/>
  <c r="AR48" i="21"/>
  <c r="AR56" i="21"/>
  <c r="AR64" i="21"/>
  <c r="AR72" i="21"/>
  <c r="AR80" i="21"/>
  <c r="AR88" i="21"/>
  <c r="AR96" i="21"/>
  <c r="AR104" i="21"/>
  <c r="AR10" i="21"/>
  <c r="AR14" i="21"/>
  <c r="AR18" i="21"/>
  <c r="AR22" i="21"/>
  <c r="AR26" i="21"/>
  <c r="AR30" i="21"/>
  <c r="AR34" i="21"/>
  <c r="AR38" i="21"/>
  <c r="AR42" i="21"/>
  <c r="AR46" i="21"/>
  <c r="AR50" i="21"/>
  <c r="AR54" i="21"/>
  <c r="AR58" i="21"/>
  <c r="AR62" i="21"/>
  <c r="AR66" i="21"/>
  <c r="AR70" i="21"/>
  <c r="AR74" i="21"/>
  <c r="AR78" i="21"/>
  <c r="AR82" i="21"/>
  <c r="AR86" i="21"/>
  <c r="AR90" i="21"/>
  <c r="AR94" i="21"/>
  <c r="AR98" i="21"/>
  <c r="AR102" i="21"/>
  <c r="AR106" i="21"/>
  <c r="AR15" i="21"/>
  <c r="AR27" i="21"/>
  <c r="AR35" i="21"/>
  <c r="AR43" i="21"/>
  <c r="AR51" i="21"/>
  <c r="AR59" i="21"/>
  <c r="AR63" i="21"/>
  <c r="AR71" i="21"/>
  <c r="AR79" i="21"/>
  <c r="AR87" i="21"/>
  <c r="AR95" i="21"/>
  <c r="AR103" i="21"/>
  <c r="AR12" i="21"/>
  <c r="AR16" i="21"/>
  <c r="AR20" i="21"/>
  <c r="AR24" i="21"/>
  <c r="AR32" i="21"/>
  <c r="AR40" i="21"/>
  <c r="AR44" i="21"/>
  <c r="AR52" i="21"/>
  <c r="AR60" i="21"/>
  <c r="AR68" i="21"/>
  <c r="AR76" i="21"/>
  <c r="AR84" i="21"/>
  <c r="AR92" i="21"/>
  <c r="AR100" i="21"/>
  <c r="AR108" i="21"/>
  <c r="B19" i="21"/>
  <c r="D46" i="16"/>
  <c r="G251" i="2"/>
  <c r="B58" i="21"/>
  <c r="AL9" i="21"/>
  <c r="B37" i="21"/>
  <c r="M9" i="21"/>
  <c r="N9" i="21" s="1"/>
  <c r="B204" i="2"/>
  <c r="B203" i="2"/>
  <c r="B207" i="2" s="1"/>
  <c r="B118" i="2"/>
  <c r="B37" i="2"/>
  <c r="B19" i="2"/>
  <c r="B450" i="2"/>
  <c r="B4" i="11"/>
  <c r="D4" i="11" s="1"/>
  <c r="B6" i="11" s="1"/>
  <c r="D6" i="11" s="1"/>
  <c r="B38" i="21"/>
  <c r="B20" i="21"/>
  <c r="B44" i="21"/>
  <c r="B40" i="21"/>
  <c r="B39" i="21"/>
  <c r="B77" i="21"/>
  <c r="AQ108" i="21"/>
  <c r="AQ104" i="21"/>
  <c r="AQ100" i="21"/>
  <c r="AQ96" i="21"/>
  <c r="AQ92" i="21"/>
  <c r="AQ88" i="21"/>
  <c r="AQ84" i="21"/>
  <c r="AQ80" i="21"/>
  <c r="AQ79" i="21"/>
  <c r="AQ73" i="21"/>
  <c r="AQ59" i="21"/>
  <c r="AQ52" i="21"/>
  <c r="AQ45" i="21"/>
  <c r="AQ37" i="21"/>
  <c r="AQ28" i="21"/>
  <c r="AQ69" i="21"/>
  <c r="AQ64" i="21"/>
  <c r="AQ60" i="21"/>
  <c r="AQ51" i="21"/>
  <c r="AQ42" i="21"/>
  <c r="AQ35" i="21"/>
  <c r="AQ27" i="21"/>
  <c r="AQ20" i="21"/>
  <c r="AQ16" i="21"/>
  <c r="AQ14" i="21"/>
  <c r="AQ12" i="21"/>
  <c r="AQ9" i="21"/>
  <c r="AQ109" i="21"/>
  <c r="AQ105" i="21"/>
  <c r="AQ101" i="21"/>
  <c r="AQ97" i="21"/>
  <c r="AQ93" i="21"/>
  <c r="AQ89" i="21"/>
  <c r="AQ85" i="21"/>
  <c r="AQ81" i="21"/>
  <c r="AQ72" i="21"/>
  <c r="AQ74" i="21"/>
  <c r="AQ68" i="21"/>
  <c r="AQ54" i="21"/>
  <c r="AQ47" i="21"/>
  <c r="AQ39" i="21"/>
  <c r="AQ29" i="21"/>
  <c r="AQ23" i="21"/>
  <c r="AQ65" i="21"/>
  <c r="AQ61" i="21"/>
  <c r="AQ53" i="21"/>
  <c r="AQ44" i="21"/>
  <c r="AQ36" i="21"/>
  <c r="AQ30" i="21"/>
  <c r="AQ21" i="21"/>
  <c r="AQ17" i="21"/>
  <c r="AQ106" i="21"/>
  <c r="AQ102" i="21"/>
  <c r="AQ98" i="21"/>
  <c r="AQ94" i="21"/>
  <c r="AQ90" i="21"/>
  <c r="AQ86" i="21"/>
  <c r="AQ82" i="21"/>
  <c r="AQ75" i="21"/>
  <c r="AQ76" i="21"/>
  <c r="AQ70" i="21"/>
  <c r="AQ56" i="21"/>
  <c r="AQ48" i="21"/>
  <c r="AQ41" i="21"/>
  <c r="AQ33" i="21"/>
  <c r="AQ25" i="21"/>
  <c r="AQ66" i="21"/>
  <c r="AQ62" i="21"/>
  <c r="AQ55" i="21"/>
  <c r="AQ46" i="21"/>
  <c r="AQ38" i="21"/>
  <c r="AQ31" i="21"/>
  <c r="AQ22" i="21"/>
  <c r="AQ19" i="21"/>
  <c r="AQ15" i="21"/>
  <c r="AQ13" i="21"/>
  <c r="AQ11" i="21"/>
  <c r="AQ107" i="21"/>
  <c r="AQ103" i="21"/>
  <c r="AQ99" i="21"/>
  <c r="AQ95" i="21"/>
  <c r="AQ91" i="21"/>
  <c r="AQ87" i="21"/>
  <c r="AQ83" i="21"/>
  <c r="AQ77" i="21"/>
  <c r="AQ78" i="21"/>
  <c r="AQ71" i="21"/>
  <c r="AQ57" i="21"/>
  <c r="AQ50" i="21"/>
  <c r="AQ43" i="21"/>
  <c r="AQ34" i="21"/>
  <c r="AQ26" i="21"/>
  <c r="AQ67" i="21"/>
  <c r="AQ63" i="21"/>
  <c r="AQ58" i="21"/>
  <c r="AQ49" i="21"/>
  <c r="AQ40" i="21"/>
  <c r="AQ32" i="21"/>
  <c r="AQ24" i="21"/>
  <c r="AQ18" i="21"/>
  <c r="AQ10" i="21"/>
  <c r="B59" i="21"/>
  <c r="B18" i="21"/>
  <c r="B12" i="21"/>
  <c r="AU9" i="21"/>
  <c r="AX8" i="21"/>
  <c r="L9" i="21"/>
  <c r="AW8" i="21"/>
  <c r="B25" i="21"/>
  <c r="B50" i="21"/>
  <c r="B23" i="21"/>
  <c r="B47" i="21"/>
  <c r="B46" i="21"/>
  <c r="AL105" i="21"/>
  <c r="B14" i="21"/>
  <c r="AL42" i="21"/>
  <c r="AL50" i="21"/>
  <c r="B22" i="21"/>
  <c r="C368" i="2"/>
  <c r="B403" i="2"/>
  <c r="A380" i="2"/>
  <c r="B49" i="2"/>
  <c r="B256" i="2"/>
  <c r="R11" i="8" s="1"/>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B14" i="2"/>
  <c r="B34" i="2"/>
  <c r="B401" i="2"/>
  <c r="R4" i="8"/>
  <c r="S4" i="8" s="1"/>
  <c r="S10" i="8"/>
  <c r="F66" i="1"/>
  <c r="B314" i="2"/>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H159" i="8"/>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1"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B4" i="6"/>
  <c r="B13" i="6" s="1"/>
  <c r="B14" i="6" s="1"/>
  <c r="B72" i="2"/>
  <c r="B237" i="2"/>
  <c r="B168" i="2"/>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AM57" i="27" l="1"/>
  <c r="AM50" i="27"/>
  <c r="AN49" i="27"/>
  <c r="AN58" i="27"/>
  <c r="AN70" i="27"/>
  <c r="AN29" i="27"/>
  <c r="AN26" i="27"/>
  <c r="AM24" i="27"/>
  <c r="AM43" i="27"/>
  <c r="AM47" i="27"/>
  <c r="AM48" i="27"/>
  <c r="B142" i="2"/>
  <c r="B147" i="2" s="1"/>
  <c r="B134" i="2"/>
  <c r="D132" i="2"/>
  <c r="AM90" i="27"/>
  <c r="AM77" i="27"/>
  <c r="AN85" i="27"/>
  <c r="AN86" i="27"/>
  <c r="AM82" i="27"/>
  <c r="AM66" i="27"/>
  <c r="AN92" i="27"/>
  <c r="AN88" i="27"/>
  <c r="AN21" i="27"/>
  <c r="AN30" i="27"/>
  <c r="AN83" i="27"/>
  <c r="AM35" i="27"/>
  <c r="AM20" i="27"/>
  <c r="AN63" i="27"/>
  <c r="AN84" i="27"/>
  <c r="AM17" i="27"/>
  <c r="AM19" i="27"/>
  <c r="AN51" i="27"/>
  <c r="AM36" i="27"/>
  <c r="AN25" i="27"/>
  <c r="AM46" i="27"/>
  <c r="AM95" i="27"/>
  <c r="AN18" i="27"/>
  <c r="AM40" i="27"/>
  <c r="AN76" i="27"/>
  <c r="AN42" i="27"/>
  <c r="AM15" i="27"/>
  <c r="AN45" i="27"/>
  <c r="AN91" i="27"/>
  <c r="AM23" i="27"/>
  <c r="AM87" i="27"/>
  <c r="AN27" i="27"/>
  <c r="AM52" i="27"/>
  <c r="AM62" i="27"/>
  <c r="AN62" i="27"/>
  <c r="AM41" i="27"/>
  <c r="AN41" i="27"/>
  <c r="AN80" i="27"/>
  <c r="AM80" i="27"/>
  <c r="AM73" i="27"/>
  <c r="AN73" i="27"/>
  <c r="AN72" i="27"/>
  <c r="AM72" i="27"/>
  <c r="AN96" i="27"/>
  <c r="AM96" i="27"/>
  <c r="AN31" i="27"/>
  <c r="AM31" i="27"/>
  <c r="AM65" i="27"/>
  <c r="AN65" i="27"/>
  <c r="AM97" i="27"/>
  <c r="E16" i="29" s="1"/>
  <c r="AN97" i="27"/>
  <c r="AN74" i="27"/>
  <c r="AM74" i="27"/>
  <c r="AM22" i="27"/>
  <c r="AN22" i="27"/>
  <c r="AN16" i="27"/>
  <c r="AM16" i="27"/>
  <c r="AN60" i="27"/>
  <c r="AM60" i="27"/>
  <c r="AN28" i="27"/>
  <c r="AM28" i="27"/>
  <c r="AM61" i="27"/>
  <c r="AN61" i="27"/>
  <c r="AM69" i="27"/>
  <c r="AN69" i="27"/>
  <c r="AM32" i="27"/>
  <c r="AN32" i="27"/>
  <c r="AN79" i="27"/>
  <c r="AM79" i="27"/>
  <c r="AN71" i="27"/>
  <c r="AM71" i="27"/>
  <c r="AM67" i="27"/>
  <c r="AN67" i="27"/>
  <c r="AN56" i="27"/>
  <c r="AM56" i="27"/>
  <c r="AM55" i="27"/>
  <c r="AN55" i="27"/>
  <c r="AN33" i="27"/>
  <c r="AM33" i="27"/>
  <c r="AN34" i="27"/>
  <c r="AM34" i="27"/>
  <c r="AM37" i="27"/>
  <c r="AN37" i="27"/>
  <c r="AM44" i="27"/>
  <c r="AN44" i="27"/>
  <c r="AM93" i="27"/>
  <c r="AN93" i="27"/>
  <c r="AM54" i="27"/>
  <c r="AN54" i="27"/>
  <c r="AM78" i="27"/>
  <c r="AN78" i="27"/>
  <c r="AN53" i="27"/>
  <c r="AM53" i="27"/>
  <c r="AN68" i="27"/>
  <c r="AM68" i="27"/>
  <c r="AM14" i="27"/>
  <c r="AN14" i="27"/>
  <c r="AM75" i="27"/>
  <c r="AN75" i="27"/>
  <c r="AN81" i="27"/>
  <c r="AM81" i="27"/>
  <c r="AN94" i="27"/>
  <c r="AM94" i="27"/>
  <c r="AN64" i="27"/>
  <c r="AM64" i="27"/>
  <c r="AN89" i="27"/>
  <c r="AM89" i="27"/>
  <c r="AM59" i="27"/>
  <c r="AN59" i="27"/>
  <c r="AN38" i="27"/>
  <c r="AM38" i="27"/>
  <c r="AN39" i="27"/>
  <c r="AM39" i="27"/>
  <c r="C451" i="2"/>
  <c r="B451" i="2"/>
  <c r="M131" i="2"/>
  <c r="B58" i="2"/>
  <c r="K131" i="2"/>
  <c r="K134" i="2" s="1"/>
  <c r="B57" i="2"/>
  <c r="B68" i="2" s="1"/>
  <c r="E29" i="1" s="1"/>
  <c r="P9" i="21"/>
  <c r="Q9" i="21" s="1"/>
  <c r="AE9" i="21" s="1"/>
  <c r="O9" i="21"/>
  <c r="B363" i="2"/>
  <c r="B364" i="2" s="1"/>
  <c r="E103" i="1" s="1"/>
  <c r="E102" i="1"/>
  <c r="AL70" i="21"/>
  <c r="AL54" i="21"/>
  <c r="AL10" i="21"/>
  <c r="AL95" i="21"/>
  <c r="AL79" i="21"/>
  <c r="AL63" i="21"/>
  <c r="AL31" i="21"/>
  <c r="AL84" i="21"/>
  <c r="AL68" i="21"/>
  <c r="AL52" i="21"/>
  <c r="AL20" i="21"/>
  <c r="AL109" i="21"/>
  <c r="AL93" i="21"/>
  <c r="AL77" i="21"/>
  <c r="AL61" i="21"/>
  <c r="AL45" i="21"/>
  <c r="AL21" i="21"/>
  <c r="B68" i="21"/>
  <c r="B69" i="21" s="1"/>
  <c r="AL98" i="21"/>
  <c r="AL90" i="21"/>
  <c r="AL82" i="21"/>
  <c r="AL74" i="21"/>
  <c r="AL66" i="21"/>
  <c r="AL58" i="21"/>
  <c r="AL34" i="21"/>
  <c r="AL18" i="21"/>
  <c r="AL99" i="21"/>
  <c r="AL91" i="21"/>
  <c r="AL83" i="21"/>
  <c r="AL75" i="21"/>
  <c r="AL67" i="21"/>
  <c r="AL59" i="21"/>
  <c r="AL35" i="21"/>
  <c r="AL27" i="21"/>
  <c r="AL38" i="21"/>
  <c r="AL78" i="21"/>
  <c r="AL62" i="21"/>
  <c r="AL46" i="21"/>
  <c r="AL30" i="21"/>
  <c r="AL14" i="21"/>
  <c r="AL103" i="21"/>
  <c r="AL87" i="21"/>
  <c r="AL71" i="21"/>
  <c r="AL55" i="21"/>
  <c r="AL39" i="21"/>
  <c r="AL15" i="21"/>
  <c r="AL108" i="21"/>
  <c r="AL60" i="21"/>
  <c r="AL44" i="21"/>
  <c r="AL85" i="21"/>
  <c r="AL69" i="21"/>
  <c r="AL13" i="21"/>
  <c r="AL88" i="21"/>
  <c r="AL80" i="21"/>
  <c r="AL72" i="21"/>
  <c r="AL56" i="21"/>
  <c r="AL24" i="21"/>
  <c r="AL16" i="21"/>
  <c r="AL97" i="21"/>
  <c r="AL89" i="21"/>
  <c r="AL81" i="21"/>
  <c r="AL73" i="21"/>
  <c r="AL33" i="21"/>
  <c r="AL25" i="21"/>
  <c r="AL17" i="21"/>
  <c r="AL104" i="21"/>
  <c r="AL11" i="21"/>
  <c r="AL19" i="21"/>
  <c r="AL94" i="21"/>
  <c r="AL40" i="21"/>
  <c r="AL41" i="21"/>
  <c r="AL48" i="21"/>
  <c r="AL49" i="21"/>
  <c r="AL106" i="21"/>
  <c r="AL102" i="21"/>
  <c r="AL107" i="21"/>
  <c r="AL100" i="21"/>
  <c r="AL36" i="21"/>
  <c r="AL101" i="21"/>
  <c r="AL37" i="21"/>
  <c r="AL92" i="21"/>
  <c r="AL28" i="21"/>
  <c r="AL29" i="21"/>
  <c r="AL51" i="21"/>
  <c r="AL47" i="21"/>
  <c r="AL57" i="21"/>
  <c r="AL23" i="21"/>
  <c r="AL53" i="21"/>
  <c r="AL43" i="21"/>
  <c r="AL64" i="21"/>
  <c r="AL65" i="21"/>
  <c r="AL26" i="21"/>
  <c r="AL86" i="21"/>
  <c r="AL22" i="21"/>
  <c r="AL96" i="21"/>
  <c r="AL32" i="21"/>
  <c r="AL76" i="21"/>
  <c r="AL12" i="21"/>
  <c r="AF9" i="21"/>
  <c r="V9" i="21"/>
  <c r="R9" i="21"/>
  <c r="AJ9" i="21"/>
  <c r="AB9" i="21"/>
  <c r="AH9" i="21"/>
  <c r="Y9" i="21"/>
  <c r="M94" i="21"/>
  <c r="N94" i="21" s="1"/>
  <c r="M62" i="21"/>
  <c r="N62" i="21" s="1"/>
  <c r="M38" i="21"/>
  <c r="M14" i="21"/>
  <c r="M103" i="21"/>
  <c r="M87" i="21"/>
  <c r="N87" i="21" s="1"/>
  <c r="M71" i="21"/>
  <c r="N71" i="21" s="1"/>
  <c r="M47" i="21"/>
  <c r="M31" i="21"/>
  <c r="M15" i="21"/>
  <c r="N15" i="21" s="1"/>
  <c r="M11" i="21"/>
  <c r="N11" i="21" s="1"/>
  <c r="M104" i="21"/>
  <c r="N104" i="21" s="1"/>
  <c r="M96" i="21"/>
  <c r="N96" i="21" s="1"/>
  <c r="M88" i="21"/>
  <c r="N88" i="21" s="1"/>
  <c r="M80" i="21"/>
  <c r="M72" i="21"/>
  <c r="N72" i="21" s="1"/>
  <c r="M64" i="21"/>
  <c r="N64" i="21" s="1"/>
  <c r="M56" i="21"/>
  <c r="N56" i="21" s="1"/>
  <c r="M48" i="21"/>
  <c r="N48" i="21" s="1"/>
  <c r="M40" i="21"/>
  <c r="N40" i="21" s="1"/>
  <c r="M32" i="21"/>
  <c r="N32" i="21" s="1"/>
  <c r="M24" i="21"/>
  <c r="N24" i="21" s="1"/>
  <c r="M16" i="21"/>
  <c r="M105" i="21"/>
  <c r="M97" i="21"/>
  <c r="N97" i="21" s="1"/>
  <c r="M89" i="21"/>
  <c r="N89" i="21" s="1"/>
  <c r="M81" i="21"/>
  <c r="N81" i="21" s="1"/>
  <c r="M73" i="21"/>
  <c r="N73" i="21" s="1"/>
  <c r="M65" i="21"/>
  <c r="N65" i="21" s="1"/>
  <c r="M57" i="21"/>
  <c r="N57" i="21" s="1"/>
  <c r="M49" i="21"/>
  <c r="M41" i="21"/>
  <c r="N41" i="21" s="1"/>
  <c r="M33" i="21"/>
  <c r="N33" i="21" s="1"/>
  <c r="M25" i="21"/>
  <c r="N25" i="21" s="1"/>
  <c r="M17" i="21"/>
  <c r="M12" i="21"/>
  <c r="N12" i="21" s="1"/>
  <c r="M86" i="21"/>
  <c r="N86" i="21" s="1"/>
  <c r="M70" i="21"/>
  <c r="N70" i="21" s="1"/>
  <c r="M46" i="21"/>
  <c r="M22" i="21"/>
  <c r="M10" i="21"/>
  <c r="N10" i="21" s="1"/>
  <c r="M95" i="21"/>
  <c r="N95" i="21" s="1"/>
  <c r="M79" i="21"/>
  <c r="N79" i="21" s="1"/>
  <c r="M55" i="21"/>
  <c r="N55" i="21" s="1"/>
  <c r="M39" i="21"/>
  <c r="M23" i="21"/>
  <c r="N23" i="21" s="1"/>
  <c r="M108" i="21"/>
  <c r="M100" i="21"/>
  <c r="N100" i="21" s="1"/>
  <c r="M92" i="21"/>
  <c r="N92" i="21" s="1"/>
  <c r="M84" i="21"/>
  <c r="N84" i="21" s="1"/>
  <c r="M76" i="21"/>
  <c r="M68" i="21"/>
  <c r="N68" i="21" s="1"/>
  <c r="M60" i="21"/>
  <c r="N60" i="21" s="1"/>
  <c r="M52" i="21"/>
  <c r="N52" i="21" s="1"/>
  <c r="M44" i="21"/>
  <c r="N44" i="21" s="1"/>
  <c r="M36" i="21"/>
  <c r="N36" i="21" s="1"/>
  <c r="M28" i="21"/>
  <c r="N28" i="21" s="1"/>
  <c r="M20" i="21"/>
  <c r="N20" i="21" s="1"/>
  <c r="M109" i="21"/>
  <c r="M101" i="21"/>
  <c r="N101" i="21" s="1"/>
  <c r="M93" i="21"/>
  <c r="N93" i="21" s="1"/>
  <c r="M85" i="21"/>
  <c r="N85" i="21" s="1"/>
  <c r="M77" i="21"/>
  <c r="M69" i="21"/>
  <c r="N69" i="21" s="1"/>
  <c r="M61" i="21"/>
  <c r="N61" i="21" s="1"/>
  <c r="M53" i="21"/>
  <c r="N53" i="21" s="1"/>
  <c r="M45" i="21"/>
  <c r="N45" i="21" s="1"/>
  <c r="M37" i="21"/>
  <c r="M29" i="21"/>
  <c r="N29" i="21" s="1"/>
  <c r="M21" i="21"/>
  <c r="N21" i="21" s="1"/>
  <c r="M13" i="21"/>
  <c r="N13" i="21" s="1"/>
  <c r="M102" i="21"/>
  <c r="M78" i="21"/>
  <c r="N78" i="21" s="1"/>
  <c r="M54" i="21"/>
  <c r="N54" i="21" s="1"/>
  <c r="M30" i="21"/>
  <c r="N30" i="21" s="1"/>
  <c r="M63" i="21"/>
  <c r="N63" i="21" s="1"/>
  <c r="M106" i="21"/>
  <c r="N106" i="21" s="1"/>
  <c r="M98" i="21"/>
  <c r="N98" i="21" s="1"/>
  <c r="M90" i="21"/>
  <c r="N90" i="21" s="1"/>
  <c r="M82" i="21"/>
  <c r="M74" i="21"/>
  <c r="N74" i="21" s="1"/>
  <c r="M66" i="21"/>
  <c r="N66" i="21" s="1"/>
  <c r="M58" i="21"/>
  <c r="N58" i="21" s="1"/>
  <c r="M50" i="21"/>
  <c r="N50" i="21" s="1"/>
  <c r="M42" i="21"/>
  <c r="N42" i="21" s="1"/>
  <c r="M34" i="21"/>
  <c r="N34" i="21" s="1"/>
  <c r="M26" i="21"/>
  <c r="M18" i="21"/>
  <c r="M107" i="21"/>
  <c r="N107" i="21" s="1"/>
  <c r="M99" i="21"/>
  <c r="N99" i="21" s="1"/>
  <c r="M91" i="21"/>
  <c r="N91" i="21" s="1"/>
  <c r="M83" i="21"/>
  <c r="N83" i="21" s="1"/>
  <c r="M75" i="21"/>
  <c r="M67" i="21"/>
  <c r="N67" i="21" s="1"/>
  <c r="M59" i="21"/>
  <c r="N59" i="21" s="1"/>
  <c r="M51" i="21"/>
  <c r="N51" i="21" s="1"/>
  <c r="M43" i="21"/>
  <c r="M35" i="21"/>
  <c r="N35" i="21" s="1"/>
  <c r="M27" i="21"/>
  <c r="N27" i="21" s="1"/>
  <c r="M19" i="21"/>
  <c r="N19" i="21" s="1"/>
  <c r="S38" i="8"/>
  <c r="R38" i="8"/>
  <c r="I4" i="8"/>
  <c r="B56" i="2"/>
  <c r="B131" i="2" s="1"/>
  <c r="K3" i="17"/>
  <c r="E563" i="17" s="1"/>
  <c r="B210" i="2"/>
  <c r="B214" i="2" s="1"/>
  <c r="B213" i="2"/>
  <c r="B9" i="8"/>
  <c r="B8" i="8" s="1"/>
  <c r="B7" i="8" s="1"/>
  <c r="B6" i="8" s="1"/>
  <c r="B4" i="8" s="1"/>
  <c r="B444" i="2" s="1"/>
  <c r="AU12" i="21"/>
  <c r="L12" i="21"/>
  <c r="AU106" i="21"/>
  <c r="L106" i="21"/>
  <c r="AU102" i="21"/>
  <c r="L102" i="21"/>
  <c r="AU98" i="21"/>
  <c r="L98" i="21"/>
  <c r="AU94" i="21"/>
  <c r="L94" i="21"/>
  <c r="AU90" i="21"/>
  <c r="L90" i="21"/>
  <c r="AU86" i="21"/>
  <c r="L86" i="21"/>
  <c r="AU82" i="21"/>
  <c r="L82" i="21"/>
  <c r="AU78" i="21"/>
  <c r="L78" i="21"/>
  <c r="AU74" i="21"/>
  <c r="L74" i="21"/>
  <c r="AU70" i="21"/>
  <c r="L70" i="21"/>
  <c r="AU66" i="21"/>
  <c r="L66" i="21"/>
  <c r="AU62" i="21"/>
  <c r="L62" i="21"/>
  <c r="AU58" i="21"/>
  <c r="L58" i="21"/>
  <c r="AU54" i="21"/>
  <c r="L54" i="21"/>
  <c r="AU50" i="21"/>
  <c r="L50" i="21"/>
  <c r="AU46" i="21"/>
  <c r="L46" i="21"/>
  <c r="AU42" i="21"/>
  <c r="L42" i="21"/>
  <c r="AU38" i="21"/>
  <c r="L38" i="21"/>
  <c r="AU34" i="21"/>
  <c r="L34" i="21"/>
  <c r="AU30" i="21"/>
  <c r="L30" i="21"/>
  <c r="AU26" i="21"/>
  <c r="L26" i="21"/>
  <c r="AU22" i="21"/>
  <c r="L22" i="21"/>
  <c r="AU18" i="21"/>
  <c r="L18" i="21"/>
  <c r="AU14" i="21"/>
  <c r="L14" i="21"/>
  <c r="AU10" i="21"/>
  <c r="L10" i="21"/>
  <c r="AU107" i="21"/>
  <c r="L107" i="21"/>
  <c r="AU103" i="21"/>
  <c r="L103" i="21"/>
  <c r="AU99" i="21"/>
  <c r="L99" i="21"/>
  <c r="AU95" i="21"/>
  <c r="L95" i="21"/>
  <c r="AU91" i="21"/>
  <c r="L91" i="21"/>
  <c r="AU87" i="21"/>
  <c r="L87" i="21"/>
  <c r="AU83" i="21"/>
  <c r="L83" i="21"/>
  <c r="AU79" i="21"/>
  <c r="L79" i="21"/>
  <c r="AU75" i="21"/>
  <c r="L75" i="21"/>
  <c r="AU71" i="21"/>
  <c r="L71" i="21"/>
  <c r="AU67" i="21"/>
  <c r="L67" i="21"/>
  <c r="AU63" i="21"/>
  <c r="L63" i="21"/>
  <c r="AU59" i="21"/>
  <c r="L59" i="21"/>
  <c r="AU55" i="21"/>
  <c r="L55" i="21"/>
  <c r="AU51" i="21"/>
  <c r="L51" i="21"/>
  <c r="AU47" i="21"/>
  <c r="L47" i="21"/>
  <c r="AU43" i="21"/>
  <c r="L43" i="21"/>
  <c r="AU39" i="21"/>
  <c r="L39" i="21"/>
  <c r="AU35" i="21"/>
  <c r="L35" i="21"/>
  <c r="AU31" i="21"/>
  <c r="L31" i="21"/>
  <c r="AU27" i="21"/>
  <c r="L27" i="21"/>
  <c r="AU23" i="21"/>
  <c r="L23" i="21"/>
  <c r="AU19" i="21"/>
  <c r="L19" i="21"/>
  <c r="AU15" i="21"/>
  <c r="L15" i="21"/>
  <c r="AU11" i="21"/>
  <c r="L11" i="21"/>
  <c r="AU108" i="21"/>
  <c r="L108" i="21"/>
  <c r="AU104" i="21"/>
  <c r="L104" i="21"/>
  <c r="AU100" i="21"/>
  <c r="L100" i="21"/>
  <c r="AU96" i="21"/>
  <c r="L96" i="21"/>
  <c r="AU92" i="21"/>
  <c r="L92" i="21"/>
  <c r="AU88" i="21"/>
  <c r="L88" i="21"/>
  <c r="AU84" i="21"/>
  <c r="L84" i="21"/>
  <c r="AU80" i="21"/>
  <c r="L80" i="21"/>
  <c r="AU76" i="21"/>
  <c r="L76" i="21"/>
  <c r="AU72" i="21"/>
  <c r="L72" i="21"/>
  <c r="AU68" i="21"/>
  <c r="L68" i="21"/>
  <c r="AU64" i="21"/>
  <c r="L64" i="21"/>
  <c r="AU60" i="21"/>
  <c r="L60" i="21"/>
  <c r="AU56" i="21"/>
  <c r="L56" i="21"/>
  <c r="AU52" i="21"/>
  <c r="L52" i="21"/>
  <c r="AU48" i="21"/>
  <c r="L48" i="21"/>
  <c r="AU44" i="21"/>
  <c r="L44" i="21"/>
  <c r="AU40" i="21"/>
  <c r="L40" i="21"/>
  <c r="AU36" i="21"/>
  <c r="L36" i="21"/>
  <c r="AU32" i="21"/>
  <c r="L32" i="21"/>
  <c r="AU28" i="21"/>
  <c r="L28" i="21"/>
  <c r="AU24" i="21"/>
  <c r="L24" i="21"/>
  <c r="AU20" i="21"/>
  <c r="L20" i="21"/>
  <c r="AU16" i="21"/>
  <c r="L16" i="21"/>
  <c r="AU109" i="21"/>
  <c r="L109" i="21"/>
  <c r="AU105" i="21"/>
  <c r="L105" i="21"/>
  <c r="AU101" i="21"/>
  <c r="L101" i="21"/>
  <c r="AU97" i="21"/>
  <c r="L97" i="21"/>
  <c r="AU93" i="21"/>
  <c r="L93" i="21"/>
  <c r="AU89" i="21"/>
  <c r="L89" i="21"/>
  <c r="AU85" i="21"/>
  <c r="L85" i="21"/>
  <c r="AU81" i="21"/>
  <c r="L81" i="21"/>
  <c r="AU77" i="21"/>
  <c r="L77" i="21"/>
  <c r="AU73" i="21"/>
  <c r="L73" i="21"/>
  <c r="AU69" i="21"/>
  <c r="L69" i="21"/>
  <c r="AU65" i="21"/>
  <c r="L65" i="21"/>
  <c r="AU61" i="21"/>
  <c r="L61" i="21"/>
  <c r="AU57" i="21"/>
  <c r="L57" i="21"/>
  <c r="AU53" i="21"/>
  <c r="L53" i="21"/>
  <c r="AU49" i="21"/>
  <c r="L49" i="21"/>
  <c r="AU45" i="21"/>
  <c r="L45" i="21"/>
  <c r="AU41" i="21"/>
  <c r="L41" i="21"/>
  <c r="AU37" i="21"/>
  <c r="L37" i="21"/>
  <c r="AU33" i="21"/>
  <c r="L33" i="21"/>
  <c r="AU29" i="21"/>
  <c r="L29" i="21"/>
  <c r="AU25" i="21"/>
  <c r="L25" i="21"/>
  <c r="AU21" i="21"/>
  <c r="L21" i="21"/>
  <c r="AU17" i="21"/>
  <c r="L17" i="21"/>
  <c r="AU13" i="21"/>
  <c r="L13" i="21"/>
  <c r="B73" i="21"/>
  <c r="B45" i="21"/>
  <c r="B72" i="21"/>
  <c r="B358" i="2"/>
  <c r="B193" i="2"/>
  <c r="B416" i="2" s="1"/>
  <c r="B359" i="2"/>
  <c r="B230" i="2"/>
  <c r="B208" i="2"/>
  <c r="B23" i="2"/>
  <c r="B21" i="2"/>
  <c r="B22" i="2"/>
  <c r="G159" i="8"/>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B35" i="2"/>
  <c r="S11" i="8"/>
  <c r="B257" i="2" s="1"/>
  <c r="B418" i="2" s="1"/>
  <c r="C50" i="16"/>
  <c r="D50" i="16" s="1"/>
  <c r="B50" i="2"/>
  <c r="E62" i="1"/>
  <c r="B151" i="2" l="1"/>
  <c r="B148" i="2"/>
  <c r="B153" i="2"/>
  <c r="B152" i="2"/>
  <c r="B159" i="2"/>
  <c r="B158" i="2"/>
  <c r="B161" i="2"/>
  <c r="B113" i="2"/>
  <c r="B160" i="2"/>
  <c r="B69" i="2"/>
  <c r="B62" i="2"/>
  <c r="B99" i="2"/>
  <c r="B103" i="2" s="1"/>
  <c r="B112" i="2"/>
  <c r="B133" i="2"/>
  <c r="B80" i="2"/>
  <c r="B61" i="2"/>
  <c r="B132" i="2"/>
  <c r="B127" i="2"/>
  <c r="E38" i="1" s="1"/>
  <c r="B123" i="2"/>
  <c r="B120" i="2"/>
  <c r="B121" i="2" s="1"/>
  <c r="B79" i="21"/>
  <c r="B81" i="2"/>
  <c r="B70" i="21"/>
  <c r="B98" i="2"/>
  <c r="B102" i="2" s="1"/>
  <c r="V81" i="21"/>
  <c r="O81" i="21"/>
  <c r="P81" i="21"/>
  <c r="Q81" i="21" s="1"/>
  <c r="AE81" i="21" s="1"/>
  <c r="V35" i="21"/>
  <c r="O35" i="21"/>
  <c r="P35" i="21"/>
  <c r="Q35" i="21" s="1"/>
  <c r="AE35" i="21" s="1"/>
  <c r="AF99" i="21"/>
  <c r="O99" i="21"/>
  <c r="P99" i="21"/>
  <c r="Q99" i="21" s="1"/>
  <c r="AE99" i="21" s="1"/>
  <c r="V66" i="21"/>
  <c r="P66" i="21"/>
  <c r="Q66" i="21" s="1"/>
  <c r="AE66" i="21" s="1"/>
  <c r="O66" i="21"/>
  <c r="AF54" i="21"/>
  <c r="P54" i="21"/>
  <c r="Q54" i="21" s="1"/>
  <c r="AE54" i="21" s="1"/>
  <c r="O54" i="21"/>
  <c r="AF53" i="21"/>
  <c r="O53" i="21"/>
  <c r="P53" i="21"/>
  <c r="Q53" i="21" s="1"/>
  <c r="AE53" i="21" s="1"/>
  <c r="AF20" i="21"/>
  <c r="O20" i="21"/>
  <c r="P20" i="21"/>
  <c r="Q20" i="21" s="1"/>
  <c r="AE20" i="21" s="1"/>
  <c r="V84" i="21"/>
  <c r="O84" i="21"/>
  <c r="P84" i="21"/>
  <c r="Q84" i="21" s="1"/>
  <c r="AE84" i="21" s="1"/>
  <c r="AF95" i="21"/>
  <c r="P95" i="21"/>
  <c r="Q95" i="21" s="1"/>
  <c r="AE95" i="21" s="1"/>
  <c r="O95" i="21"/>
  <c r="V25" i="21"/>
  <c r="O25" i="21"/>
  <c r="P25" i="21"/>
  <c r="Q25" i="21" s="1"/>
  <c r="AE25" i="21" s="1"/>
  <c r="AF89" i="21"/>
  <c r="O89" i="21"/>
  <c r="P89" i="21"/>
  <c r="Q89" i="21" s="1"/>
  <c r="AE89" i="21" s="1"/>
  <c r="AF56" i="21"/>
  <c r="P56" i="21"/>
  <c r="Q56" i="21" s="1"/>
  <c r="AE56" i="21" s="1"/>
  <c r="O56" i="21"/>
  <c r="AF15" i="21"/>
  <c r="P15" i="21"/>
  <c r="Q15" i="21" s="1"/>
  <c r="AE15" i="21" s="1"/>
  <c r="O15" i="21"/>
  <c r="V62" i="21"/>
  <c r="P62" i="21"/>
  <c r="Q62" i="21" s="1"/>
  <c r="AE62" i="21" s="1"/>
  <c r="O62" i="21"/>
  <c r="AF58" i="21"/>
  <c r="P58" i="21"/>
  <c r="Q58" i="21" s="1"/>
  <c r="AE58" i="21" s="1"/>
  <c r="O58" i="21"/>
  <c r="AF30" i="21"/>
  <c r="P30" i="21"/>
  <c r="Q30" i="21" s="1"/>
  <c r="AE30" i="21" s="1"/>
  <c r="O30" i="21"/>
  <c r="V107" i="21"/>
  <c r="O107" i="21"/>
  <c r="P107" i="21"/>
  <c r="Q107" i="21" s="1"/>
  <c r="AE107" i="21" s="1"/>
  <c r="AF74" i="21"/>
  <c r="P74" i="21"/>
  <c r="Q74" i="21" s="1"/>
  <c r="AE74" i="21" s="1"/>
  <c r="O74" i="21"/>
  <c r="V78" i="21"/>
  <c r="P78" i="21"/>
  <c r="Q78" i="21" s="1"/>
  <c r="AE78" i="21" s="1"/>
  <c r="O78" i="21"/>
  <c r="AF61" i="21"/>
  <c r="O61" i="21"/>
  <c r="P61" i="21"/>
  <c r="Q61" i="21" s="1"/>
  <c r="AE61" i="21" s="1"/>
  <c r="AF28" i="21"/>
  <c r="O28" i="21"/>
  <c r="P28" i="21"/>
  <c r="Q28" i="21" s="1"/>
  <c r="AE28" i="21" s="1"/>
  <c r="AF92" i="21"/>
  <c r="O92" i="21"/>
  <c r="P92" i="21"/>
  <c r="Q92" i="21" s="1"/>
  <c r="AE92" i="21" s="1"/>
  <c r="V10" i="21"/>
  <c r="O10" i="21"/>
  <c r="P10" i="21"/>
  <c r="Q10" i="21" s="1"/>
  <c r="AE10" i="21" s="1"/>
  <c r="AF33" i="21"/>
  <c r="O33" i="21"/>
  <c r="P33" i="21"/>
  <c r="Q33" i="21" s="1"/>
  <c r="AE33" i="21" s="1"/>
  <c r="AF97" i="21"/>
  <c r="P97" i="21"/>
  <c r="Q97" i="21" s="1"/>
  <c r="AE97" i="21" s="1"/>
  <c r="O97" i="21"/>
  <c r="AF64" i="21"/>
  <c r="P64" i="21"/>
  <c r="Q64" i="21" s="1"/>
  <c r="AE64" i="21" s="1"/>
  <c r="O64" i="21"/>
  <c r="V94" i="21"/>
  <c r="P94" i="21"/>
  <c r="Q94" i="21" s="1"/>
  <c r="AE94" i="21" s="1"/>
  <c r="O94" i="21"/>
  <c r="AF27" i="21"/>
  <c r="O27" i="21"/>
  <c r="P27" i="21"/>
  <c r="Q27" i="21" s="1"/>
  <c r="AE27" i="21" s="1"/>
  <c r="R51" i="21"/>
  <c r="AN51" i="21" s="1"/>
  <c r="BE51" i="21" s="1"/>
  <c r="O51" i="21"/>
  <c r="P51" i="21"/>
  <c r="Q51" i="21" s="1"/>
  <c r="AE51" i="21" s="1"/>
  <c r="V69" i="21"/>
  <c r="O69" i="21"/>
  <c r="P69" i="21"/>
  <c r="Q69" i="21" s="1"/>
  <c r="AE69" i="21" s="1"/>
  <c r="V36" i="21"/>
  <c r="O36" i="21"/>
  <c r="P36" i="21"/>
  <c r="Q36" i="21" s="1"/>
  <c r="AE36" i="21" s="1"/>
  <c r="V100" i="21"/>
  <c r="O100" i="21"/>
  <c r="P100" i="21"/>
  <c r="Q100" i="21" s="1"/>
  <c r="AE100" i="21" s="1"/>
  <c r="V41" i="21"/>
  <c r="O41" i="21"/>
  <c r="P41" i="21"/>
  <c r="Q41" i="21" s="1"/>
  <c r="AE41" i="21" s="1"/>
  <c r="V72" i="21"/>
  <c r="P72" i="21"/>
  <c r="Q72" i="21" s="1"/>
  <c r="AE72" i="21" s="1"/>
  <c r="O72" i="21"/>
  <c r="AF48" i="21"/>
  <c r="P48" i="21"/>
  <c r="Q48" i="21" s="1"/>
  <c r="AE48" i="21" s="1"/>
  <c r="O48" i="21"/>
  <c r="AF59" i="21"/>
  <c r="O59" i="21"/>
  <c r="P59" i="21"/>
  <c r="Q59" i="21" s="1"/>
  <c r="AE59" i="21" s="1"/>
  <c r="AF90" i="21"/>
  <c r="O90" i="21"/>
  <c r="P90" i="21"/>
  <c r="Q90" i="21" s="1"/>
  <c r="AE90" i="21" s="1"/>
  <c r="V13" i="21"/>
  <c r="O13" i="21"/>
  <c r="P13" i="21"/>
  <c r="Q13" i="21" s="1"/>
  <c r="AE13" i="21" s="1"/>
  <c r="AF44" i="21"/>
  <c r="O44" i="21"/>
  <c r="P44" i="21"/>
  <c r="Q44" i="21" s="1"/>
  <c r="AE44" i="21" s="1"/>
  <c r="V71" i="21"/>
  <c r="P71" i="21"/>
  <c r="Q71" i="21" s="1"/>
  <c r="AE71" i="21" s="1"/>
  <c r="O71" i="21"/>
  <c r="V79" i="21"/>
  <c r="O79" i="21"/>
  <c r="P79" i="21"/>
  <c r="Q79" i="21" s="1"/>
  <c r="AE79" i="21" s="1"/>
  <c r="AF67" i="21"/>
  <c r="O67" i="21"/>
  <c r="P67" i="21"/>
  <c r="Q67" i="21" s="1"/>
  <c r="AE67" i="21" s="1"/>
  <c r="V34" i="21"/>
  <c r="O34" i="21"/>
  <c r="P34" i="21"/>
  <c r="Q34" i="21" s="1"/>
  <c r="AE34" i="21" s="1"/>
  <c r="V98" i="21"/>
  <c r="P98" i="21"/>
  <c r="Q98" i="21" s="1"/>
  <c r="AE98" i="21" s="1"/>
  <c r="O98" i="21"/>
  <c r="AF21" i="21"/>
  <c r="O21" i="21"/>
  <c r="P21" i="21"/>
  <c r="Q21" i="21" s="1"/>
  <c r="AE21" i="21" s="1"/>
  <c r="AF85" i="21"/>
  <c r="O85" i="21"/>
  <c r="P85" i="21"/>
  <c r="Q85" i="21" s="1"/>
  <c r="AE85" i="21" s="1"/>
  <c r="AF52" i="21"/>
  <c r="O52" i="21"/>
  <c r="P52" i="21"/>
  <c r="Q52" i="21" s="1"/>
  <c r="AE52" i="21" s="1"/>
  <c r="AF23" i="21"/>
  <c r="O23" i="21"/>
  <c r="P23" i="21"/>
  <c r="Q23" i="21" s="1"/>
  <c r="AE23" i="21" s="1"/>
  <c r="V70" i="21"/>
  <c r="P70" i="21"/>
  <c r="Q70" i="21" s="1"/>
  <c r="AE70" i="21" s="1"/>
  <c r="O70" i="21"/>
  <c r="AF57" i="21"/>
  <c r="O57" i="21"/>
  <c r="P57" i="21"/>
  <c r="Q57" i="21" s="1"/>
  <c r="AE57" i="21" s="1"/>
  <c r="V24" i="21"/>
  <c r="P24" i="21"/>
  <c r="Q24" i="21" s="1"/>
  <c r="AE24" i="21" s="1"/>
  <c r="O24" i="21"/>
  <c r="AF88" i="21"/>
  <c r="P88" i="21"/>
  <c r="Q88" i="21" s="1"/>
  <c r="AE88" i="21" s="1"/>
  <c r="O88" i="21"/>
  <c r="AF87" i="21"/>
  <c r="P87" i="21"/>
  <c r="Q87" i="21" s="1"/>
  <c r="AE87" i="21" s="1"/>
  <c r="O87" i="21"/>
  <c r="AF91" i="21"/>
  <c r="O91" i="21"/>
  <c r="P91" i="21"/>
  <c r="Q91" i="21" s="1"/>
  <c r="AE91" i="21" s="1"/>
  <c r="V45" i="21"/>
  <c r="O45" i="21"/>
  <c r="P45" i="21"/>
  <c r="Q45" i="21" s="1"/>
  <c r="AE45" i="21" s="1"/>
  <c r="AF42" i="21"/>
  <c r="P42" i="21"/>
  <c r="Q42" i="21" s="1"/>
  <c r="AE42" i="21" s="1"/>
  <c r="O42" i="21"/>
  <c r="V106" i="21"/>
  <c r="P106" i="21"/>
  <c r="Q106" i="21" s="1"/>
  <c r="AE106" i="21" s="1"/>
  <c r="O106" i="21"/>
  <c r="V29" i="21"/>
  <c r="O29" i="21"/>
  <c r="P29" i="21"/>
  <c r="Q29" i="21" s="1"/>
  <c r="AE29" i="21" s="1"/>
  <c r="AF93" i="21"/>
  <c r="O93" i="21"/>
  <c r="P93" i="21"/>
  <c r="Q93" i="21" s="1"/>
  <c r="AE93" i="21" s="1"/>
  <c r="AF60" i="21"/>
  <c r="O60" i="21"/>
  <c r="P60" i="21"/>
  <c r="Q60" i="21" s="1"/>
  <c r="AE60" i="21" s="1"/>
  <c r="V86" i="21"/>
  <c r="P86" i="21"/>
  <c r="Q86" i="21" s="1"/>
  <c r="AE86" i="21" s="1"/>
  <c r="O86" i="21"/>
  <c r="AF65" i="21"/>
  <c r="O65" i="21"/>
  <c r="P65" i="21"/>
  <c r="Q65" i="21" s="1"/>
  <c r="AE65" i="21" s="1"/>
  <c r="V32" i="21"/>
  <c r="P32" i="21"/>
  <c r="Q32" i="21" s="1"/>
  <c r="AE32" i="21" s="1"/>
  <c r="O32" i="21"/>
  <c r="AF96" i="21"/>
  <c r="P96" i="21"/>
  <c r="Q96" i="21" s="1"/>
  <c r="AE96" i="21" s="1"/>
  <c r="O96" i="21"/>
  <c r="V11" i="21"/>
  <c r="O11" i="21"/>
  <c r="P11" i="21"/>
  <c r="Q11" i="21" s="1"/>
  <c r="AE11" i="21" s="1"/>
  <c r="AF19" i="21"/>
  <c r="O19" i="21"/>
  <c r="P19" i="21"/>
  <c r="Q19" i="21" s="1"/>
  <c r="AE19" i="21" s="1"/>
  <c r="R83" i="21"/>
  <c r="AN83" i="21" s="1"/>
  <c r="BE83" i="21" s="1"/>
  <c r="O83" i="21"/>
  <c r="P83" i="21"/>
  <c r="Q83" i="21" s="1"/>
  <c r="AE83" i="21" s="1"/>
  <c r="V50" i="21"/>
  <c r="O50" i="21"/>
  <c r="P50" i="21"/>
  <c r="Q50" i="21" s="1"/>
  <c r="AE50" i="21" s="1"/>
  <c r="AF63" i="21"/>
  <c r="P63" i="21"/>
  <c r="Q63" i="21" s="1"/>
  <c r="AE63" i="21" s="1"/>
  <c r="O63" i="21"/>
  <c r="V101" i="21"/>
  <c r="P101" i="21"/>
  <c r="Q101" i="21" s="1"/>
  <c r="AE101" i="21" s="1"/>
  <c r="O101" i="21"/>
  <c r="V68" i="21"/>
  <c r="O68" i="21"/>
  <c r="P68" i="21"/>
  <c r="Q68" i="21" s="1"/>
  <c r="AE68" i="21" s="1"/>
  <c r="AF55" i="21"/>
  <c r="O55" i="21"/>
  <c r="P55" i="21"/>
  <c r="Q55" i="21" s="1"/>
  <c r="AE55" i="21" s="1"/>
  <c r="V12" i="21"/>
  <c r="O12" i="21"/>
  <c r="P12" i="21"/>
  <c r="Q12" i="21" s="1"/>
  <c r="AE12" i="21" s="1"/>
  <c r="AF73" i="21"/>
  <c r="O73" i="21"/>
  <c r="P73" i="21"/>
  <c r="Q73" i="21" s="1"/>
  <c r="AE73" i="21" s="1"/>
  <c r="V40" i="21"/>
  <c r="P40" i="21"/>
  <c r="Q40" i="21" s="1"/>
  <c r="AE40" i="21" s="1"/>
  <c r="O40" i="21"/>
  <c r="V104" i="21"/>
  <c r="P104" i="21"/>
  <c r="Q104" i="21" s="1"/>
  <c r="AE104" i="21" s="1"/>
  <c r="O104" i="21"/>
  <c r="B97" i="2"/>
  <c r="B101" i="2" s="1"/>
  <c r="B60" i="2"/>
  <c r="B67" i="2"/>
  <c r="B79" i="2"/>
  <c r="B225" i="2"/>
  <c r="B232" i="2"/>
  <c r="B224" i="2"/>
  <c r="AN9" i="21"/>
  <c r="S9" i="21"/>
  <c r="B111" i="2"/>
  <c r="E110" i="17"/>
  <c r="F329" i="17"/>
  <c r="E203" i="17"/>
  <c r="AF72" i="21"/>
  <c r="AF62" i="21"/>
  <c r="AF107" i="21"/>
  <c r="AF100" i="21"/>
  <c r="AF41" i="21"/>
  <c r="AF69" i="21"/>
  <c r="AF101" i="21"/>
  <c r="AF12" i="21"/>
  <c r="AF68" i="21"/>
  <c r="AF86" i="21"/>
  <c r="AF25" i="21"/>
  <c r="AF40" i="21"/>
  <c r="AF104" i="21"/>
  <c r="AF36" i="21"/>
  <c r="AF24" i="21"/>
  <c r="AF94" i="21"/>
  <c r="AF106" i="21"/>
  <c r="AF13" i="21"/>
  <c r="AF71" i="21"/>
  <c r="AF45" i="21"/>
  <c r="AF81" i="21"/>
  <c r="AF32" i="21"/>
  <c r="AF11" i="21"/>
  <c r="AF29" i="21"/>
  <c r="AF78" i="21"/>
  <c r="AF79" i="21"/>
  <c r="AF10" i="21"/>
  <c r="AF70" i="21"/>
  <c r="F64" i="17"/>
  <c r="AF35" i="21"/>
  <c r="AF51" i="21"/>
  <c r="AF83" i="21"/>
  <c r="AF34" i="21"/>
  <c r="AF50" i="21"/>
  <c r="AF66" i="21"/>
  <c r="AF98" i="21"/>
  <c r="AF84" i="21"/>
  <c r="E213" i="17"/>
  <c r="F20" i="17"/>
  <c r="F254" i="17"/>
  <c r="E75" i="17"/>
  <c r="F176" i="17"/>
  <c r="F326" i="17"/>
  <c r="E471" i="17"/>
  <c r="F32" i="17"/>
  <c r="E349" i="17"/>
  <c r="E107" i="17"/>
  <c r="E398" i="17"/>
  <c r="V57" i="21"/>
  <c r="AJ57" i="21"/>
  <c r="AD13" i="21"/>
  <c r="AD17" i="21"/>
  <c r="AD21" i="21"/>
  <c r="AD25" i="21"/>
  <c r="AD29" i="21"/>
  <c r="AD33" i="21"/>
  <c r="AD37" i="21"/>
  <c r="AD41" i="21"/>
  <c r="AD45" i="21"/>
  <c r="AD49" i="21"/>
  <c r="AD53" i="21"/>
  <c r="AD57" i="21"/>
  <c r="AD61" i="21"/>
  <c r="AD65" i="21"/>
  <c r="AD69" i="21"/>
  <c r="AD73" i="21"/>
  <c r="AD77" i="21"/>
  <c r="AD81" i="21"/>
  <c r="AD85" i="21"/>
  <c r="AD89" i="21"/>
  <c r="AD93" i="21"/>
  <c r="AD97" i="21"/>
  <c r="AD101" i="21"/>
  <c r="AD105" i="21"/>
  <c r="AD109" i="21"/>
  <c r="AD15" i="21"/>
  <c r="AD23" i="21"/>
  <c r="AD31" i="21"/>
  <c r="AD39" i="21"/>
  <c r="AD47" i="21"/>
  <c r="AD55" i="21"/>
  <c r="AD63" i="21"/>
  <c r="AD71" i="21"/>
  <c r="AD79" i="21"/>
  <c r="AD87" i="21"/>
  <c r="AD95" i="21"/>
  <c r="AD103" i="21"/>
  <c r="AD12" i="21"/>
  <c r="AD24" i="21"/>
  <c r="AD32" i="21"/>
  <c r="AD40" i="21"/>
  <c r="AD48" i="21"/>
  <c r="AD56" i="21"/>
  <c r="AD64" i="21"/>
  <c r="AD72" i="21"/>
  <c r="AD80" i="21"/>
  <c r="AD88" i="21"/>
  <c r="AD92" i="21"/>
  <c r="AD100" i="21"/>
  <c r="AD108" i="21"/>
  <c r="AD10" i="21"/>
  <c r="AD14" i="21"/>
  <c r="AD18" i="21"/>
  <c r="AD22" i="21"/>
  <c r="AD26" i="21"/>
  <c r="AD30" i="21"/>
  <c r="AD34" i="21"/>
  <c r="AD38" i="21"/>
  <c r="AD42" i="21"/>
  <c r="AD46" i="21"/>
  <c r="AD50" i="21"/>
  <c r="AD54" i="21"/>
  <c r="AD58" i="21"/>
  <c r="AD62" i="21"/>
  <c r="AD66" i="21"/>
  <c r="AD70" i="21"/>
  <c r="AD74" i="21"/>
  <c r="AD78" i="21"/>
  <c r="AD82" i="21"/>
  <c r="AD86" i="21"/>
  <c r="AD90" i="21"/>
  <c r="AD94" i="21"/>
  <c r="AD98" i="21"/>
  <c r="AD102" i="21"/>
  <c r="AD106" i="21"/>
  <c r="AD9" i="21"/>
  <c r="AD11" i="21"/>
  <c r="AD19" i="21"/>
  <c r="AD27" i="21"/>
  <c r="AD35" i="21"/>
  <c r="AD43" i="21"/>
  <c r="AD51" i="21"/>
  <c r="AD59" i="21"/>
  <c r="AD67" i="21"/>
  <c r="AD75" i="21"/>
  <c r="AD83" i="21"/>
  <c r="AD91" i="21"/>
  <c r="AD99" i="21"/>
  <c r="AD107" i="21"/>
  <c r="AD16" i="21"/>
  <c r="AD20" i="21"/>
  <c r="AD28" i="21"/>
  <c r="AD36" i="21"/>
  <c r="AD44" i="21"/>
  <c r="AD52" i="21"/>
  <c r="AD60" i="21"/>
  <c r="AD68" i="21"/>
  <c r="AD76" i="21"/>
  <c r="AD84" i="21"/>
  <c r="AD96" i="21"/>
  <c r="AD104" i="21"/>
  <c r="V96" i="21"/>
  <c r="R96" i="21"/>
  <c r="V52" i="21"/>
  <c r="AJ52" i="21"/>
  <c r="V20" i="21"/>
  <c r="AJ20" i="21"/>
  <c r="V56" i="21"/>
  <c r="AJ56" i="21"/>
  <c r="V88" i="21"/>
  <c r="R88" i="21"/>
  <c r="AJ88" i="21"/>
  <c r="V61" i="21"/>
  <c r="R61" i="21"/>
  <c r="V64" i="21"/>
  <c r="R64" i="21"/>
  <c r="V89" i="21"/>
  <c r="R89" i="21"/>
  <c r="V67" i="21"/>
  <c r="R67" i="21"/>
  <c r="AJ67" i="21"/>
  <c r="V99" i="21"/>
  <c r="R99" i="21"/>
  <c r="V30" i="21"/>
  <c r="AJ30" i="21"/>
  <c r="R30" i="21"/>
  <c r="AJ35" i="21"/>
  <c r="R35" i="21"/>
  <c r="AJ84" i="21"/>
  <c r="AJ25" i="21"/>
  <c r="AJ24" i="21"/>
  <c r="R32" i="21"/>
  <c r="R29" i="21"/>
  <c r="V19" i="21"/>
  <c r="AJ19" i="21"/>
  <c r="V91" i="21"/>
  <c r="R91" i="21"/>
  <c r="AJ91" i="21"/>
  <c r="V21" i="21"/>
  <c r="AJ21" i="21"/>
  <c r="R21" i="21"/>
  <c r="V44" i="21"/>
  <c r="R44" i="21"/>
  <c r="AJ44" i="21"/>
  <c r="V23" i="21"/>
  <c r="AJ23" i="21"/>
  <c r="R23" i="21"/>
  <c r="V97" i="21"/>
  <c r="AJ97" i="21"/>
  <c r="R97" i="21"/>
  <c r="V51" i="21"/>
  <c r="AJ51" i="21"/>
  <c r="V42" i="21"/>
  <c r="AJ42" i="21"/>
  <c r="R42" i="21"/>
  <c r="V92" i="21"/>
  <c r="R92" i="21"/>
  <c r="AJ92" i="21"/>
  <c r="V95" i="21"/>
  <c r="AJ95" i="21"/>
  <c r="R95" i="21"/>
  <c r="V33" i="21"/>
  <c r="R33" i="21"/>
  <c r="AJ33" i="21"/>
  <c r="V48" i="21"/>
  <c r="R48" i="21"/>
  <c r="AJ48" i="21"/>
  <c r="V27" i="21"/>
  <c r="R27" i="21"/>
  <c r="AJ27" i="21"/>
  <c r="N43" i="21"/>
  <c r="V83" i="21"/>
  <c r="AJ83" i="21"/>
  <c r="V58" i="21"/>
  <c r="R58" i="21"/>
  <c r="AJ58" i="21"/>
  <c r="V54" i="21"/>
  <c r="AJ54" i="21"/>
  <c r="R54" i="21"/>
  <c r="V85" i="21"/>
  <c r="AJ85" i="21"/>
  <c r="R85" i="21"/>
  <c r="V60" i="21"/>
  <c r="R60" i="21"/>
  <c r="AJ60" i="21"/>
  <c r="V73" i="21"/>
  <c r="AJ73" i="21"/>
  <c r="R73" i="21"/>
  <c r="V15" i="21"/>
  <c r="AJ15" i="21"/>
  <c r="R15" i="21"/>
  <c r="V93" i="21"/>
  <c r="AJ93" i="21"/>
  <c r="R93" i="21"/>
  <c r="V55" i="21"/>
  <c r="AJ55" i="21"/>
  <c r="R55" i="21"/>
  <c r="V65" i="21"/>
  <c r="AJ65" i="21"/>
  <c r="R65" i="21"/>
  <c r="R19" i="21"/>
  <c r="V59" i="21"/>
  <c r="R59" i="21"/>
  <c r="AJ59" i="21"/>
  <c r="N75" i="21"/>
  <c r="V74" i="21"/>
  <c r="AJ74" i="21"/>
  <c r="R74" i="21"/>
  <c r="V90" i="21"/>
  <c r="AJ90" i="21"/>
  <c r="R90" i="21"/>
  <c r="V63" i="21"/>
  <c r="AJ63" i="21"/>
  <c r="R63" i="21"/>
  <c r="V53" i="21"/>
  <c r="AJ53" i="21"/>
  <c r="R53" i="21"/>
  <c r="V28" i="21"/>
  <c r="AJ28" i="21"/>
  <c r="R28" i="21"/>
  <c r="V87" i="21"/>
  <c r="R87" i="21"/>
  <c r="AJ87" i="21"/>
  <c r="AB35" i="21"/>
  <c r="AH35" i="21"/>
  <c r="Y35" i="21"/>
  <c r="AH67" i="21"/>
  <c r="AB67" i="21"/>
  <c r="Y67" i="21"/>
  <c r="AH99" i="21"/>
  <c r="AB99" i="21"/>
  <c r="Y99" i="21"/>
  <c r="R107" i="21"/>
  <c r="R34" i="21"/>
  <c r="AH50" i="21"/>
  <c r="AB50" i="21"/>
  <c r="Y50" i="21"/>
  <c r="AJ50" i="21"/>
  <c r="R66" i="21"/>
  <c r="R98" i="21"/>
  <c r="R106" i="21"/>
  <c r="R78" i="21"/>
  <c r="AJ13" i="21"/>
  <c r="AH29" i="21"/>
  <c r="Y29" i="21"/>
  <c r="AB29" i="21"/>
  <c r="N37" i="21"/>
  <c r="AJ45" i="21"/>
  <c r="AH61" i="21"/>
  <c r="Y61" i="21"/>
  <c r="AB61" i="21"/>
  <c r="AH69" i="21"/>
  <c r="Y69" i="21"/>
  <c r="AB69" i="21"/>
  <c r="AH101" i="21"/>
  <c r="Y101" i="21"/>
  <c r="AB101" i="21"/>
  <c r="AJ101" i="21"/>
  <c r="R20" i="21"/>
  <c r="AH36" i="21"/>
  <c r="AB36" i="21"/>
  <c r="Y36" i="21"/>
  <c r="R52" i="21"/>
  <c r="AH68" i="21"/>
  <c r="Y68" i="21"/>
  <c r="AB68" i="21"/>
  <c r="R84" i="21"/>
  <c r="AH100" i="21"/>
  <c r="Y100" i="21"/>
  <c r="AB100" i="21"/>
  <c r="AJ79" i="21"/>
  <c r="R10" i="21"/>
  <c r="AH86" i="21"/>
  <c r="AB86" i="21"/>
  <c r="Y86" i="21"/>
  <c r="AH12" i="21"/>
  <c r="Y12" i="21"/>
  <c r="AB12" i="21"/>
  <c r="R25" i="21"/>
  <c r="AH41" i="21"/>
  <c r="AB41" i="21"/>
  <c r="Y41" i="21"/>
  <c r="R57" i="21"/>
  <c r="N105" i="21"/>
  <c r="R24" i="21"/>
  <c r="AH40" i="21"/>
  <c r="AB40" i="21"/>
  <c r="Y40" i="21"/>
  <c r="R56" i="21"/>
  <c r="AH72" i="21"/>
  <c r="Y72" i="21"/>
  <c r="AB72" i="21"/>
  <c r="AH104" i="21"/>
  <c r="Y104" i="21"/>
  <c r="AB104" i="21"/>
  <c r="AJ11" i="21"/>
  <c r="N47" i="21"/>
  <c r="AJ71" i="21"/>
  <c r="AH94" i="21"/>
  <c r="AB94" i="21"/>
  <c r="Y94" i="21"/>
  <c r="AH90" i="21"/>
  <c r="AB90" i="21"/>
  <c r="Y90" i="21"/>
  <c r="AH55" i="21"/>
  <c r="AB55" i="21"/>
  <c r="Y55" i="21"/>
  <c r="AH73" i="21"/>
  <c r="Y73" i="21"/>
  <c r="AB73" i="21"/>
  <c r="AJ81" i="21"/>
  <c r="AB19" i="21"/>
  <c r="AH19" i="21"/>
  <c r="Y19" i="21"/>
  <c r="AH51" i="21"/>
  <c r="AB51" i="21"/>
  <c r="Y51" i="21"/>
  <c r="AH83" i="21"/>
  <c r="AB83" i="21"/>
  <c r="Y83" i="21"/>
  <c r="AJ99" i="21"/>
  <c r="AH107" i="21"/>
  <c r="AB107" i="21"/>
  <c r="Y107" i="21"/>
  <c r="N18" i="21"/>
  <c r="N26" i="21"/>
  <c r="AH34" i="21"/>
  <c r="Y34" i="21"/>
  <c r="AB34" i="21"/>
  <c r="AJ34" i="21"/>
  <c r="R50" i="21"/>
  <c r="AH66" i="21"/>
  <c r="AB66" i="21"/>
  <c r="Y66" i="21"/>
  <c r="AJ66" i="21"/>
  <c r="N82" i="21"/>
  <c r="AH98" i="21"/>
  <c r="AB98" i="21"/>
  <c r="Y98" i="21"/>
  <c r="AJ98" i="21"/>
  <c r="AH30" i="21"/>
  <c r="AB30" i="21"/>
  <c r="Y30" i="21"/>
  <c r="N102" i="21"/>
  <c r="AH13" i="21"/>
  <c r="Y13" i="21"/>
  <c r="AB13" i="21"/>
  <c r="AJ29" i="21"/>
  <c r="AH45" i="21"/>
  <c r="Y45" i="21"/>
  <c r="AB45" i="21"/>
  <c r="AJ61" i="21"/>
  <c r="R69" i="21"/>
  <c r="N77" i="21"/>
  <c r="R101" i="21"/>
  <c r="N109" i="21"/>
  <c r="AH20" i="21"/>
  <c r="AB20" i="21"/>
  <c r="Y20" i="21"/>
  <c r="R36" i="21"/>
  <c r="AH52" i="21"/>
  <c r="Y52" i="21"/>
  <c r="AB52" i="21"/>
  <c r="R68" i="21"/>
  <c r="N76" i="21"/>
  <c r="AH84" i="21"/>
  <c r="Y84" i="21"/>
  <c r="AB84" i="21"/>
  <c r="R100" i="21"/>
  <c r="N108" i="21"/>
  <c r="AH79" i="21"/>
  <c r="AB79" i="21"/>
  <c r="Y79" i="21"/>
  <c r="N22" i="21"/>
  <c r="AH70" i="21"/>
  <c r="AB70" i="21"/>
  <c r="Y70" i="21"/>
  <c r="AJ70" i="21"/>
  <c r="R12" i="21"/>
  <c r="N17" i="21"/>
  <c r="AH25" i="21"/>
  <c r="AB25" i="21"/>
  <c r="Y25" i="21"/>
  <c r="R41" i="21"/>
  <c r="N49" i="21"/>
  <c r="AH57" i="21"/>
  <c r="Y57" i="21"/>
  <c r="AB57" i="21"/>
  <c r="AH81" i="21"/>
  <c r="Y81" i="21"/>
  <c r="AB81" i="21"/>
  <c r="AH89" i="21"/>
  <c r="Y89" i="21"/>
  <c r="AB89" i="21"/>
  <c r="AJ89" i="21"/>
  <c r="N16" i="21"/>
  <c r="AH24" i="21"/>
  <c r="AB24" i="21"/>
  <c r="Y24" i="21"/>
  <c r="AJ32" i="21"/>
  <c r="R40" i="21"/>
  <c r="AH56" i="21"/>
  <c r="Y56" i="21"/>
  <c r="AB56" i="21"/>
  <c r="AJ64" i="21"/>
  <c r="R72" i="21"/>
  <c r="N80" i="21"/>
  <c r="AH88" i="21"/>
  <c r="Y88" i="21"/>
  <c r="AB88" i="21"/>
  <c r="AJ96" i="21"/>
  <c r="R104" i="21"/>
  <c r="R11" i="21"/>
  <c r="AH71" i="21"/>
  <c r="AB71" i="21"/>
  <c r="Y71" i="21"/>
  <c r="N14" i="21"/>
  <c r="R62" i="21"/>
  <c r="AJ62" i="21"/>
  <c r="AH58" i="21"/>
  <c r="AB58" i="21"/>
  <c r="Y58" i="21"/>
  <c r="AH63" i="21"/>
  <c r="AB63" i="21"/>
  <c r="Y63" i="21"/>
  <c r="AH44" i="21"/>
  <c r="Y44" i="21"/>
  <c r="AB44" i="21"/>
  <c r="AH97" i="21"/>
  <c r="Y97" i="21"/>
  <c r="AB97" i="21"/>
  <c r="AH48" i="21"/>
  <c r="AB48" i="21"/>
  <c r="Y48" i="21"/>
  <c r="AB27" i="21"/>
  <c r="AH27" i="21"/>
  <c r="Y27" i="21"/>
  <c r="AH59" i="21"/>
  <c r="AB59" i="21"/>
  <c r="Y59" i="21"/>
  <c r="AH91" i="21"/>
  <c r="AB91" i="21"/>
  <c r="Y91" i="21"/>
  <c r="AJ107" i="21"/>
  <c r="AH42" i="21"/>
  <c r="AB42" i="21"/>
  <c r="Y42" i="21"/>
  <c r="AH74" i="21"/>
  <c r="AB74" i="21"/>
  <c r="Y74" i="21"/>
  <c r="AH106" i="21"/>
  <c r="AB106" i="21"/>
  <c r="Y106" i="21"/>
  <c r="AJ106" i="21"/>
  <c r="AH54" i="21"/>
  <c r="AB54" i="21"/>
  <c r="Y54" i="21"/>
  <c r="AH78" i="21"/>
  <c r="AB78" i="21"/>
  <c r="Y78" i="21"/>
  <c r="AJ78" i="21"/>
  <c r="R13" i="21"/>
  <c r="AH21" i="21"/>
  <c r="Y21" i="21"/>
  <c r="AB21" i="21"/>
  <c r="R45" i="21"/>
  <c r="AH53" i="21"/>
  <c r="Y53" i="21"/>
  <c r="AB53" i="21"/>
  <c r="AJ69" i="21"/>
  <c r="AH85" i="21"/>
  <c r="Y85" i="21"/>
  <c r="AB85" i="21"/>
  <c r="AH93" i="21"/>
  <c r="Y93" i="21"/>
  <c r="AB93" i="21"/>
  <c r="AH28" i="21"/>
  <c r="Y28" i="21"/>
  <c r="AB28" i="21"/>
  <c r="AJ36" i="21"/>
  <c r="AH60" i="21"/>
  <c r="Y60" i="21"/>
  <c r="AB60" i="21"/>
  <c r="AJ68" i="21"/>
  <c r="AH92" i="21"/>
  <c r="Y92" i="21"/>
  <c r="AB92" i="21"/>
  <c r="AJ100" i="21"/>
  <c r="AB23" i="21"/>
  <c r="AH23" i="21"/>
  <c r="Y23" i="21"/>
  <c r="N39" i="21"/>
  <c r="R79" i="21"/>
  <c r="AH95" i="21"/>
  <c r="AB95" i="21"/>
  <c r="Y95" i="21"/>
  <c r="AH10" i="21"/>
  <c r="AB10" i="21"/>
  <c r="Y10" i="21"/>
  <c r="AJ10" i="21"/>
  <c r="N46" i="21"/>
  <c r="R70" i="21"/>
  <c r="R86" i="21"/>
  <c r="AJ86" i="21"/>
  <c r="AJ12" i="21"/>
  <c r="AH33" i="21"/>
  <c r="Y33" i="21"/>
  <c r="AB33" i="21"/>
  <c r="AJ41" i="21"/>
  <c r="AH65" i="21"/>
  <c r="Y65" i="21"/>
  <c r="AB65" i="21"/>
  <c r="R81" i="21"/>
  <c r="AH32" i="21"/>
  <c r="AB32" i="21"/>
  <c r="Y32" i="21"/>
  <c r="AJ40" i="21"/>
  <c r="AH64" i="21"/>
  <c r="AB64" i="21"/>
  <c r="Y64" i="21"/>
  <c r="AJ72" i="21"/>
  <c r="AH96" i="21"/>
  <c r="AB96" i="21"/>
  <c r="Y96" i="21"/>
  <c r="AJ104" i="21"/>
  <c r="AB11" i="21"/>
  <c r="AH11" i="21"/>
  <c r="Y11" i="21"/>
  <c r="AH15" i="21"/>
  <c r="AB15" i="21"/>
  <c r="Y15" i="21"/>
  <c r="N31" i="21"/>
  <c r="R71" i="21"/>
  <c r="AH87" i="21"/>
  <c r="AB87" i="21"/>
  <c r="Y87" i="21"/>
  <c r="N103" i="21"/>
  <c r="N38" i="21"/>
  <c r="AH62" i="21"/>
  <c r="AB62" i="21"/>
  <c r="Y62" i="21"/>
  <c r="R94" i="21"/>
  <c r="AJ94" i="21"/>
  <c r="S37" i="8"/>
  <c r="R37" i="8"/>
  <c r="F84" i="17"/>
  <c r="E43" i="17"/>
  <c r="F134" i="17"/>
  <c r="E135" i="17"/>
  <c r="E212" i="17"/>
  <c r="F241" i="17"/>
  <c r="F560" i="17"/>
  <c r="F96" i="17"/>
  <c r="F52" i="17"/>
  <c r="F112" i="17"/>
  <c r="E251" i="17"/>
  <c r="E130" i="17"/>
  <c r="F117" i="17"/>
  <c r="F466" i="17"/>
  <c r="F158" i="17"/>
  <c r="E113" i="17"/>
  <c r="F206" i="17"/>
  <c r="F288" i="17"/>
  <c r="E262" i="17"/>
  <c r="F393" i="17"/>
  <c r="F287" i="17"/>
  <c r="F108" i="17"/>
  <c r="F88" i="17"/>
  <c r="E67" i="17"/>
  <c r="F44" i="17"/>
  <c r="F24" i="17"/>
  <c r="F128" i="17"/>
  <c r="F174" i="17"/>
  <c r="E235" i="17"/>
  <c r="E129" i="17"/>
  <c r="E209" i="17"/>
  <c r="F238" i="17"/>
  <c r="E116" i="17"/>
  <c r="E210" i="17"/>
  <c r="E304" i="17"/>
  <c r="F414" i="17"/>
  <c r="F113" i="17"/>
  <c r="F221" i="17"/>
  <c r="E329" i="17"/>
  <c r="E394" i="17"/>
  <c r="F464" i="17"/>
  <c r="F558" i="17"/>
  <c r="E463" i="17"/>
  <c r="F13" i="17"/>
  <c r="E99" i="17"/>
  <c r="F76" i="17"/>
  <c r="F56" i="17"/>
  <c r="E35" i="17"/>
  <c r="F110" i="17"/>
  <c r="F150" i="17"/>
  <c r="F192" i="17"/>
  <c r="E111" i="17"/>
  <c r="E153" i="17"/>
  <c r="E277" i="17"/>
  <c r="F286" i="17"/>
  <c r="E162" i="17"/>
  <c r="E244" i="17"/>
  <c r="F368" i="17"/>
  <c r="F371" i="17"/>
  <c r="F159" i="17"/>
  <c r="F285" i="17"/>
  <c r="E413" i="17"/>
  <c r="E480" i="17"/>
  <c r="F551" i="17"/>
  <c r="F15" i="17"/>
  <c r="E557" i="17"/>
  <c r="E169" i="17"/>
  <c r="E178" i="17"/>
  <c r="F370" i="17"/>
  <c r="F177" i="17"/>
  <c r="E415" i="17"/>
  <c r="E482" i="17"/>
  <c r="F559" i="17"/>
  <c r="F399" i="17"/>
  <c r="F61" i="17"/>
  <c r="F93" i="17"/>
  <c r="F605" i="17"/>
  <c r="E556" i="17"/>
  <c r="E511" i="17"/>
  <c r="E425" i="17"/>
  <c r="F445" i="17"/>
  <c r="F95" i="17"/>
  <c r="E602" i="17"/>
  <c r="E590" i="17"/>
  <c r="F523" i="17"/>
  <c r="E529" i="17"/>
  <c r="F488" i="17"/>
  <c r="F444" i="17"/>
  <c r="E504" i="17"/>
  <c r="E462" i="17"/>
  <c r="E418" i="17"/>
  <c r="E376" i="17"/>
  <c r="E334" i="17"/>
  <c r="E393" i="17"/>
  <c r="E351" i="17"/>
  <c r="F309" i="17"/>
  <c r="F265" i="17"/>
  <c r="F223" i="17"/>
  <c r="F181" i="17"/>
  <c r="F137" i="17"/>
  <c r="E299" i="17"/>
  <c r="F375" i="17"/>
  <c r="F331" i="17"/>
  <c r="F392" i="17"/>
  <c r="F350" i="17"/>
  <c r="E306" i="17"/>
  <c r="E264" i="17"/>
  <c r="E228" i="17"/>
  <c r="E196" i="17"/>
  <c r="E164" i="17"/>
  <c r="E132" i="17"/>
  <c r="F304" i="17"/>
  <c r="F272" i="17"/>
  <c r="F240" i="17"/>
  <c r="F208" i="17"/>
  <c r="E245" i="17"/>
  <c r="E187" i="17"/>
  <c r="E155" i="17"/>
  <c r="E137" i="17"/>
  <c r="E121" i="17"/>
  <c r="E271" i="17"/>
  <c r="E239" i="17"/>
  <c r="E207" i="17"/>
  <c r="F184" i="17"/>
  <c r="F168" i="17"/>
  <c r="F152" i="17"/>
  <c r="F136" i="17"/>
  <c r="F120" i="17"/>
  <c r="E15" i="17"/>
  <c r="E23" i="17"/>
  <c r="E31" i="17"/>
  <c r="E39" i="17"/>
  <c r="E47" i="17"/>
  <c r="E55" i="17"/>
  <c r="E63" i="17"/>
  <c r="E71" i="17"/>
  <c r="E79" i="17"/>
  <c r="E87" i="17"/>
  <c r="E95" i="17"/>
  <c r="E103" i="17"/>
  <c r="F626" i="17"/>
  <c r="F105" i="17"/>
  <c r="F603" i="17"/>
  <c r="E542" i="17"/>
  <c r="E505" i="17"/>
  <c r="E423" i="17"/>
  <c r="F437" i="17"/>
  <c r="F107" i="17"/>
  <c r="E600" i="17"/>
  <c r="E582" i="17"/>
  <c r="F521" i="17"/>
  <c r="E527" i="17"/>
  <c r="F484" i="17"/>
  <c r="F442" i="17"/>
  <c r="E502" i="17"/>
  <c r="E458" i="17"/>
  <c r="E416" i="17"/>
  <c r="E374" i="17"/>
  <c r="E330" i="17"/>
  <c r="E391" i="17"/>
  <c r="F104" i="17"/>
  <c r="F92" i="17"/>
  <c r="E83" i="17"/>
  <c r="F72" i="17"/>
  <c r="F60" i="17"/>
  <c r="E51" i="17"/>
  <c r="F40" i="17"/>
  <c r="F28" i="17"/>
  <c r="E19" i="17"/>
  <c r="F118" i="17"/>
  <c r="F142" i="17"/>
  <c r="F160" i="17"/>
  <c r="F182" i="17"/>
  <c r="E219" i="17"/>
  <c r="E255" i="17"/>
  <c r="E119" i="17"/>
  <c r="E143" i="17"/>
  <c r="E171" i="17"/>
  <c r="E241" i="17"/>
  <c r="F222" i="17"/>
  <c r="F256" i="17"/>
  <c r="F302" i="17"/>
  <c r="E146" i="17"/>
  <c r="E180" i="17"/>
  <c r="E226" i="17"/>
  <c r="E282" i="17"/>
  <c r="F328" i="17"/>
  <c r="F390" i="17"/>
  <c r="F351" i="17"/>
  <c r="F395" i="17"/>
  <c r="F135" i="17"/>
  <c r="F199" i="17"/>
  <c r="F245" i="17"/>
  <c r="F305" i="17"/>
  <c r="E369" i="17"/>
  <c r="E352" i="17"/>
  <c r="E438" i="17"/>
  <c r="F420" i="17"/>
  <c r="F506" i="17"/>
  <c r="F543" i="17"/>
  <c r="E94" i="17"/>
  <c r="F479" i="17"/>
  <c r="F557" i="17"/>
  <c r="E92" i="17"/>
  <c r="F100" i="17"/>
  <c r="E91" i="17"/>
  <c r="F80" i="17"/>
  <c r="F68" i="17"/>
  <c r="E59" i="17"/>
  <c r="F48" i="17"/>
  <c r="F36" i="17"/>
  <c r="E27" i="17"/>
  <c r="F16" i="17"/>
  <c r="F126" i="17"/>
  <c r="F144" i="17"/>
  <c r="F166" i="17"/>
  <c r="F190" i="17"/>
  <c r="E223" i="17"/>
  <c r="E267" i="17"/>
  <c r="E127" i="17"/>
  <c r="E145" i="17"/>
  <c r="E185" i="17"/>
  <c r="E273" i="17"/>
  <c r="F224" i="17"/>
  <c r="F270" i="17"/>
  <c r="E114" i="17"/>
  <c r="E148" i="17"/>
  <c r="E194" i="17"/>
  <c r="E242" i="17"/>
  <c r="E286" i="17"/>
  <c r="F346" i="17"/>
  <c r="F410" i="17"/>
  <c r="F353" i="17"/>
  <c r="E297" i="17"/>
  <c r="F157" i="17"/>
  <c r="F201" i="17"/>
  <c r="F263" i="17"/>
  <c r="E327" i="17"/>
  <c r="E373" i="17"/>
  <c r="E354" i="17"/>
  <c r="E440" i="17"/>
  <c r="F424" i="17"/>
  <c r="F508" i="17"/>
  <c r="E546" i="17"/>
  <c r="E78" i="17"/>
  <c r="F485" i="17"/>
  <c r="F561" i="17"/>
  <c r="E76" i="17"/>
  <c r="E626" i="17"/>
  <c r="F106" i="17"/>
  <c r="F102" i="17"/>
  <c r="F98" i="17"/>
  <c r="F94" i="17"/>
  <c r="F90" i="17"/>
  <c r="F86" i="17"/>
  <c r="F82" i="17"/>
  <c r="F78" i="17"/>
  <c r="F74" i="17"/>
  <c r="F70" i="17"/>
  <c r="F66" i="17"/>
  <c r="F62" i="17"/>
  <c r="F58" i="17"/>
  <c r="F54" i="17"/>
  <c r="F50" i="17"/>
  <c r="F46" i="17"/>
  <c r="F42" i="17"/>
  <c r="F38" i="17"/>
  <c r="F34" i="17"/>
  <c r="F30" i="17"/>
  <c r="F26" i="17"/>
  <c r="F22" i="17"/>
  <c r="F18" i="17"/>
  <c r="F14" i="17"/>
  <c r="F114" i="17"/>
  <c r="F122" i="17"/>
  <c r="F130" i="17"/>
  <c r="F138" i="17"/>
  <c r="F146" i="17"/>
  <c r="F154" i="17"/>
  <c r="F162" i="17"/>
  <c r="F170" i="17"/>
  <c r="F178" i="17"/>
  <c r="F186" i="17"/>
  <c r="E195" i="17"/>
  <c r="E211" i="17"/>
  <c r="E227" i="17"/>
  <c r="E243" i="17"/>
  <c r="E259" i="17"/>
  <c r="E275" i="17"/>
  <c r="E115" i="17"/>
  <c r="E123" i="17"/>
  <c r="E131" i="17"/>
  <c r="E139" i="17"/>
  <c r="E147" i="17"/>
  <c r="E161" i="17"/>
  <c r="E177" i="17"/>
  <c r="E193" i="17"/>
  <c r="E225" i="17"/>
  <c r="E257" i="17"/>
  <c r="F198" i="17"/>
  <c r="F214" i="17"/>
  <c r="F230" i="17"/>
  <c r="F246" i="17"/>
  <c r="F262" i="17"/>
  <c r="F278" i="17"/>
  <c r="F294" i="17"/>
  <c r="F310" i="17"/>
  <c r="E122" i="17"/>
  <c r="E138" i="17"/>
  <c r="E154" i="17"/>
  <c r="E170" i="17"/>
  <c r="E186" i="17"/>
  <c r="E202" i="17"/>
  <c r="E218" i="17"/>
  <c r="E234" i="17"/>
  <c r="E250" i="17"/>
  <c r="E272" i="17"/>
  <c r="E294" i="17"/>
  <c r="E314" i="17"/>
  <c r="F336" i="17"/>
  <c r="F358" i="17"/>
  <c r="F378" i="17"/>
  <c r="F400" i="17"/>
  <c r="F319" i="17"/>
  <c r="F339" i="17"/>
  <c r="F361" i="17"/>
  <c r="F383" i="17"/>
  <c r="E285" i="17"/>
  <c r="E307" i="17"/>
  <c r="F125" i="17"/>
  <c r="F145" i="17"/>
  <c r="F167" i="17"/>
  <c r="F189" i="17"/>
  <c r="F209" i="17"/>
  <c r="F231" i="17"/>
  <c r="F253" i="17"/>
  <c r="F273" i="17"/>
  <c r="F295" i="17"/>
  <c r="E317" i="17"/>
  <c r="E337" i="17"/>
  <c r="E359" i="17"/>
  <c r="E381" i="17"/>
  <c r="E401" i="17"/>
  <c r="E320" i="17"/>
  <c r="E342" i="17"/>
  <c r="E362" i="17"/>
  <c r="E384" i="17"/>
  <c r="E406" i="17"/>
  <c r="E426" i="17"/>
  <c r="E448" i="17"/>
  <c r="E470" i="17"/>
  <c r="E490" i="17"/>
  <c r="E512" i="17"/>
  <c r="F432" i="17"/>
  <c r="F452" i="17"/>
  <c r="F474" i="17"/>
  <c r="F496" i="17"/>
  <c r="F516" i="17"/>
  <c r="E537" i="17"/>
  <c r="F575" i="17"/>
  <c r="F531" i="17"/>
  <c r="E562" i="17"/>
  <c r="F548" i="17"/>
  <c r="F576" i="17"/>
  <c r="E599" i="17"/>
  <c r="E46" i="17"/>
  <c r="F63" i="17"/>
  <c r="F415" i="17"/>
  <c r="F461" i="17"/>
  <c r="F501" i="17"/>
  <c r="E441" i="17"/>
  <c r="E487" i="17"/>
  <c r="F526" i="17"/>
  <c r="F593" i="17"/>
  <c r="E588" i="17"/>
  <c r="E579" i="17"/>
  <c r="F602" i="17"/>
  <c r="E44" i="17"/>
  <c r="F17" i="17"/>
  <c r="F33" i="17"/>
  <c r="F49" i="17"/>
  <c r="F65" i="17"/>
  <c r="F81" i="17"/>
  <c r="F97" i="17"/>
  <c r="E16" i="17"/>
  <c r="E32" i="17"/>
  <c r="E48" i="17"/>
  <c r="E64" i="17"/>
  <c r="E80" i="17"/>
  <c r="E96" i="17"/>
  <c r="C633" i="17"/>
  <c r="F606" i="17"/>
  <c r="F598" i="17"/>
  <c r="F609" i="17"/>
  <c r="F601" i="17"/>
  <c r="E593" i="17"/>
  <c r="E585" i="17"/>
  <c r="E577" i="17"/>
  <c r="E569" i="17"/>
  <c r="E561" i="17"/>
  <c r="E553" i="17"/>
  <c r="E545" i="17"/>
  <c r="E584" i="17"/>
  <c r="E568" i="17"/>
  <c r="E552" i="17"/>
  <c r="E540" i="17"/>
  <c r="E532" i="17"/>
  <c r="E524" i="17"/>
  <c r="F585" i="17"/>
  <c r="F569" i="17"/>
  <c r="F553" i="17"/>
  <c r="F540" i="17"/>
  <c r="F532" i="17"/>
  <c r="F524" i="17"/>
  <c r="E517" i="17"/>
  <c r="E509" i="17"/>
  <c r="E501" i="17"/>
  <c r="E493" i="17"/>
  <c r="E485" i="17"/>
  <c r="E477" i="17"/>
  <c r="E469" i="17"/>
  <c r="E461" i="17"/>
  <c r="E453" i="17"/>
  <c r="E445" i="17"/>
  <c r="E437" i="17"/>
  <c r="E429" i="17"/>
  <c r="E421" i="17"/>
  <c r="F515" i="17"/>
  <c r="F507" i="17"/>
  <c r="F499" i="17"/>
  <c r="F491" i="17"/>
  <c r="F483" i="17"/>
  <c r="F475" i="17"/>
  <c r="F467" i="17"/>
  <c r="F459" i="17"/>
  <c r="F451" i="17"/>
  <c r="F443" i="17"/>
  <c r="F435" i="17"/>
  <c r="F427" i="17"/>
  <c r="F419" i="17"/>
  <c r="F411" i="17"/>
  <c r="F403" i="17"/>
  <c r="F19" i="17"/>
  <c r="F35" i="17"/>
  <c r="F51" i="17"/>
  <c r="F67" i="17"/>
  <c r="F83" i="17"/>
  <c r="F99" i="17"/>
  <c r="E18" i="17"/>
  <c r="E34" i="17"/>
  <c r="E50" i="17"/>
  <c r="E66" i="17"/>
  <c r="E82" i="17"/>
  <c r="E98" i="17"/>
  <c r="E611" i="17"/>
  <c r="E603" i="17"/>
  <c r="A623" i="17"/>
  <c r="E606" i="17"/>
  <c r="E598" i="17"/>
  <c r="F590" i="17"/>
  <c r="F582" i="17"/>
  <c r="F574" i="17"/>
  <c r="F566" i="17"/>
  <c r="F21" i="17"/>
  <c r="F37" i="17"/>
  <c r="F53" i="17"/>
  <c r="F69" i="17"/>
  <c r="F85" i="17"/>
  <c r="F101" i="17"/>
  <c r="E20" i="17"/>
  <c r="E36" i="17"/>
  <c r="E52" i="17"/>
  <c r="E68" i="17"/>
  <c r="E84" i="17"/>
  <c r="E100" i="17"/>
  <c r="F612" i="17"/>
  <c r="F604" i="17"/>
  <c r="F596" i="17"/>
  <c r="F607" i="17"/>
  <c r="F599" i="17"/>
  <c r="E591" i="17"/>
  <c r="E583" i="17"/>
  <c r="E575" i="17"/>
  <c r="E567" i="17"/>
  <c r="E559" i="17"/>
  <c r="E551" i="17"/>
  <c r="F595" i="17"/>
  <c r="E580" i="17"/>
  <c r="E564" i="17"/>
  <c r="E548" i="17"/>
  <c r="E538" i="17"/>
  <c r="E530" i="17"/>
  <c r="E522" i="17"/>
  <c r="F581" i="17"/>
  <c r="F565" i="17"/>
  <c r="F549" i="17"/>
  <c r="F538" i="17"/>
  <c r="F530" i="17"/>
  <c r="F522" i="17"/>
  <c r="E515" i="17"/>
  <c r="E507" i="17"/>
  <c r="E499" i="17"/>
  <c r="E491" i="17"/>
  <c r="E483" i="17"/>
  <c r="E475" i="17"/>
  <c r="E467" i="17"/>
  <c r="E459" i="17"/>
  <c r="E451" i="17"/>
  <c r="E443" i="17"/>
  <c r="E435" i="17"/>
  <c r="E427" i="17"/>
  <c r="E419" i="17"/>
  <c r="F513" i="17"/>
  <c r="F505" i="17"/>
  <c r="F497" i="17"/>
  <c r="F489" i="17"/>
  <c r="F481" i="17"/>
  <c r="F473" i="17"/>
  <c r="F465" i="17"/>
  <c r="F457" i="17"/>
  <c r="F449" i="17"/>
  <c r="F441" i="17"/>
  <c r="F433" i="17"/>
  <c r="F425" i="17"/>
  <c r="F417" i="17"/>
  <c r="F409" i="17"/>
  <c r="F401" i="17"/>
  <c r="F23" i="17"/>
  <c r="F39" i="17"/>
  <c r="F55" i="17"/>
  <c r="F71" i="17"/>
  <c r="F87" i="17"/>
  <c r="F103" i="17"/>
  <c r="E22" i="17"/>
  <c r="E38" i="17"/>
  <c r="E54" i="17"/>
  <c r="E70" i="17"/>
  <c r="E86" i="17"/>
  <c r="E102" i="17"/>
  <c r="E609" i="17"/>
  <c r="E601" i="17"/>
  <c r="E612" i="17"/>
  <c r="E604" i="17"/>
  <c r="E596" i="17"/>
  <c r="F588" i="17"/>
  <c r="F580" i="17"/>
  <c r="F572" i="17"/>
  <c r="F564" i="17"/>
  <c r="F25" i="17"/>
  <c r="F57" i="17"/>
  <c r="F89" i="17"/>
  <c r="E24" i="17"/>
  <c r="E56" i="17"/>
  <c r="E88" i="17"/>
  <c r="F610" i="17"/>
  <c r="F613" i="17"/>
  <c r="F597" i="17"/>
  <c r="E581" i="17"/>
  <c r="E565" i="17"/>
  <c r="E549" i="17"/>
  <c r="E576" i="17"/>
  <c r="E544" i="17"/>
  <c r="E528" i="17"/>
  <c r="F577" i="17"/>
  <c r="F545" i="17"/>
  <c r="F528" i="17"/>
  <c r="E513" i="17"/>
  <c r="E497" i="17"/>
  <c r="E481" i="17"/>
  <c r="E465" i="17"/>
  <c r="E449" i="17"/>
  <c r="E433" i="17"/>
  <c r="E520" i="17"/>
  <c r="F503" i="17"/>
  <c r="F487" i="17"/>
  <c r="F471" i="17"/>
  <c r="F455" i="17"/>
  <c r="F439" i="17"/>
  <c r="F423" i="17"/>
  <c r="F407" i="17"/>
  <c r="F27" i="17"/>
  <c r="F59" i="17"/>
  <c r="F91" i="17"/>
  <c r="E26" i="17"/>
  <c r="E58" i="17"/>
  <c r="E90" i="17"/>
  <c r="E607" i="17"/>
  <c r="E610" i="17"/>
  <c r="F594" i="17"/>
  <c r="F578" i="17"/>
  <c r="F562" i="17"/>
  <c r="F554" i="17"/>
  <c r="F546" i="17"/>
  <c r="E586" i="17"/>
  <c r="E570" i="17"/>
  <c r="E554" i="17"/>
  <c r="F541" i="17"/>
  <c r="F533" i="17"/>
  <c r="F525" i="17"/>
  <c r="F587" i="17"/>
  <c r="F571" i="17"/>
  <c r="F555" i="17"/>
  <c r="E541" i="17"/>
  <c r="E533" i="17"/>
  <c r="E525" i="17"/>
  <c r="F518" i="17"/>
  <c r="F510" i="17"/>
  <c r="F502" i="17"/>
  <c r="F494" i="17"/>
  <c r="F486" i="17"/>
  <c r="F478" i="17"/>
  <c r="F470" i="17"/>
  <c r="F462" i="17"/>
  <c r="F454" i="17"/>
  <c r="F446" i="17"/>
  <c r="F438" i="17"/>
  <c r="F430" i="17"/>
  <c r="F422" i="17"/>
  <c r="E516" i="17"/>
  <c r="E508" i="17"/>
  <c r="E500" i="17"/>
  <c r="E492" i="17"/>
  <c r="E484" i="17"/>
  <c r="E476" i="17"/>
  <c r="E468" i="17"/>
  <c r="E460" i="17"/>
  <c r="E452" i="17"/>
  <c r="E444" i="17"/>
  <c r="E436" i="17"/>
  <c r="E428" i="17"/>
  <c r="E420" i="17"/>
  <c r="E412" i="17"/>
  <c r="E404" i="17"/>
  <c r="E396" i="17"/>
  <c r="E388" i="17"/>
  <c r="E380" i="17"/>
  <c r="E372" i="17"/>
  <c r="E364" i="17"/>
  <c r="E356" i="17"/>
  <c r="E348" i="17"/>
  <c r="E340" i="17"/>
  <c r="E332" i="17"/>
  <c r="E324" i="17"/>
  <c r="E316" i="17"/>
  <c r="E411" i="17"/>
  <c r="E403" i="17"/>
  <c r="E395" i="17"/>
  <c r="E387" i="17"/>
  <c r="E379" i="17"/>
  <c r="E371" i="17"/>
  <c r="E363" i="17"/>
  <c r="E355" i="17"/>
  <c r="E347" i="17"/>
  <c r="E339" i="17"/>
  <c r="E331" i="17"/>
  <c r="E323" i="17"/>
  <c r="E315" i="17"/>
  <c r="F307" i="17"/>
  <c r="F299" i="17"/>
  <c r="F291" i="17"/>
  <c r="F283" i="17"/>
  <c r="F275" i="17"/>
  <c r="F267" i="17"/>
  <c r="F259" i="17"/>
  <c r="F251" i="17"/>
  <c r="F243" i="17"/>
  <c r="F235" i="17"/>
  <c r="F227" i="17"/>
  <c r="F219" i="17"/>
  <c r="F211" i="17"/>
  <c r="F203" i="17"/>
  <c r="F195" i="17"/>
  <c r="F187" i="17"/>
  <c r="F179" i="17"/>
  <c r="F171" i="17"/>
  <c r="F163" i="17"/>
  <c r="F155" i="17"/>
  <c r="F147" i="17"/>
  <c r="F139" i="17"/>
  <c r="F131" i="17"/>
  <c r="F123" i="17"/>
  <c r="F115" i="17"/>
  <c r="E311" i="17"/>
  <c r="E303" i="17"/>
  <c r="E295" i="17"/>
  <c r="E287" i="17"/>
  <c r="F397" i="17"/>
  <c r="F389" i="17"/>
  <c r="F381" i="17"/>
  <c r="F373" i="17"/>
  <c r="F365" i="17"/>
  <c r="F357" i="17"/>
  <c r="F349" i="17"/>
  <c r="F341" i="17"/>
  <c r="F333" i="17"/>
  <c r="F325" i="17"/>
  <c r="F317" i="17"/>
  <c r="F412" i="17"/>
  <c r="F404" i="17"/>
  <c r="F396" i="17"/>
  <c r="F388" i="17"/>
  <c r="F380" i="17"/>
  <c r="F372" i="17"/>
  <c r="F364" i="17"/>
  <c r="F356" i="17"/>
  <c r="F348" i="17"/>
  <c r="F340" i="17"/>
  <c r="F332" i="17"/>
  <c r="F324" i="17"/>
  <c r="F316" i="17"/>
  <c r="E308" i="17"/>
  <c r="E300" i="17"/>
  <c r="E292" i="17"/>
  <c r="E284" i="17"/>
  <c r="E276" i="17"/>
  <c r="E268" i="17"/>
  <c r="E260" i="17"/>
  <c r="E252" i="17"/>
  <c r="F29" i="17"/>
  <c r="F73" i="17"/>
  <c r="F109" i="17"/>
  <c r="E60" i="17"/>
  <c r="E104" i="17"/>
  <c r="F600" i="17"/>
  <c r="E595" i="17"/>
  <c r="E573" i="17"/>
  <c r="E555" i="17"/>
  <c r="E572" i="17"/>
  <c r="E536" i="17"/>
  <c r="F589" i="17"/>
  <c r="F542" i="17"/>
  <c r="F520" i="17"/>
  <c r="E503" i="17"/>
  <c r="E479" i="17"/>
  <c r="E457" i="17"/>
  <c r="E439" i="17"/>
  <c r="F517" i="17"/>
  <c r="F495" i="17"/>
  <c r="F477" i="17"/>
  <c r="F453" i="17"/>
  <c r="F431" i="17"/>
  <c r="F413" i="17"/>
  <c r="F31" i="17"/>
  <c r="F75" i="17"/>
  <c r="E14" i="17"/>
  <c r="E62" i="17"/>
  <c r="E106" i="17"/>
  <c r="E597" i="17"/>
  <c r="F592" i="17"/>
  <c r="F570" i="17"/>
  <c r="F556" i="17"/>
  <c r="F544" i="17"/>
  <c r="E578" i="17"/>
  <c r="E558" i="17"/>
  <c r="F539" i="17"/>
  <c r="F529" i="17"/>
  <c r="F591" i="17"/>
  <c r="F567" i="17"/>
  <c r="F547" i="17"/>
  <c r="E535" i="17"/>
  <c r="E523" i="17"/>
  <c r="F514" i="17"/>
  <c r="F504" i="17"/>
  <c r="F492" i="17"/>
  <c r="F482" i="17"/>
  <c r="F472" i="17"/>
  <c r="F460" i="17"/>
  <c r="F450" i="17"/>
  <c r="F440" i="17"/>
  <c r="F428" i="17"/>
  <c r="F418" i="17"/>
  <c r="E510" i="17"/>
  <c r="E498" i="17"/>
  <c r="E488" i="17"/>
  <c r="E478" i="17"/>
  <c r="E466" i="17"/>
  <c r="E456" i="17"/>
  <c r="E446" i="17"/>
  <c r="E434" i="17"/>
  <c r="E424" i="17"/>
  <c r="E414" i="17"/>
  <c r="E402" i="17"/>
  <c r="E392" i="17"/>
  <c r="E382" i="17"/>
  <c r="E370" i="17"/>
  <c r="E360" i="17"/>
  <c r="E350" i="17"/>
  <c r="E338" i="17"/>
  <c r="E328" i="17"/>
  <c r="E318" i="17"/>
  <c r="E409" i="17"/>
  <c r="E399" i="17"/>
  <c r="E389" i="17"/>
  <c r="E377" i="17"/>
  <c r="E367" i="17"/>
  <c r="E357" i="17"/>
  <c r="E345" i="17"/>
  <c r="E335" i="17"/>
  <c r="E325" i="17"/>
  <c r="F313" i="17"/>
  <c r="F303" i="17"/>
  <c r="F293" i="17"/>
  <c r="F281" i="17"/>
  <c r="F271" i="17"/>
  <c r="F261" i="17"/>
  <c r="F249" i="17"/>
  <c r="F239" i="17"/>
  <c r="F229" i="17"/>
  <c r="F217" i="17"/>
  <c r="F207" i="17"/>
  <c r="F197" i="17"/>
  <c r="F185" i="17"/>
  <c r="F175" i="17"/>
  <c r="F165" i="17"/>
  <c r="F153" i="17"/>
  <c r="F143" i="17"/>
  <c r="F133" i="17"/>
  <c r="F121" i="17"/>
  <c r="F111" i="17"/>
  <c r="E305" i="17"/>
  <c r="E293" i="17"/>
  <c r="E283" i="17"/>
  <c r="F391" i="17"/>
  <c r="F379" i="17"/>
  <c r="F369" i="17"/>
  <c r="F359" i="17"/>
  <c r="F347" i="17"/>
  <c r="F337" i="17"/>
  <c r="F327" i="17"/>
  <c r="F315" i="17"/>
  <c r="F408" i="17"/>
  <c r="F398" i="17"/>
  <c r="F386" i="17"/>
  <c r="F376" i="17"/>
  <c r="F366" i="17"/>
  <c r="F354" i="17"/>
  <c r="F344" i="17"/>
  <c r="F334" i="17"/>
  <c r="F322" i="17"/>
  <c r="E312" i="17"/>
  <c r="E302" i="17"/>
  <c r="E290" i="17"/>
  <c r="E280" i="17"/>
  <c r="E270" i="17"/>
  <c r="E258" i="17"/>
  <c r="E248" i="17"/>
  <c r="E240" i="17"/>
  <c r="E232" i="17"/>
  <c r="E224" i="17"/>
  <c r="E216" i="17"/>
  <c r="E208" i="17"/>
  <c r="E200" i="17"/>
  <c r="E192" i="17"/>
  <c r="E184" i="17"/>
  <c r="E176" i="17"/>
  <c r="E168" i="17"/>
  <c r="E160" i="17"/>
  <c r="E152" i="17"/>
  <c r="E144" i="17"/>
  <c r="E136" i="17"/>
  <c r="E128" i="17"/>
  <c r="E120" i="17"/>
  <c r="E112" i="17"/>
  <c r="F308" i="17"/>
  <c r="F300" i="17"/>
  <c r="F292" i="17"/>
  <c r="F284" i="17"/>
  <c r="F276" i="17"/>
  <c r="F268" i="17"/>
  <c r="F260" i="17"/>
  <c r="F252" i="17"/>
  <c r="F244" i="17"/>
  <c r="F236" i="17"/>
  <c r="F228" i="17"/>
  <c r="F220" i="17"/>
  <c r="F212" i="17"/>
  <c r="F204" i="17"/>
  <c r="F196" i="17"/>
  <c r="E269" i="17"/>
  <c r="E253" i="17"/>
  <c r="E237" i="17"/>
  <c r="E221" i="17"/>
  <c r="E205" i="17"/>
  <c r="E191" i="17"/>
  <c r="E183" i="17"/>
  <c r="E175" i="17"/>
  <c r="E167" i="17"/>
  <c r="E159" i="17"/>
  <c r="E151" i="17"/>
  <c r="F41" i="17"/>
  <c r="F77" i="17"/>
  <c r="E28" i="17"/>
  <c r="E72" i="17"/>
  <c r="E108" i="17"/>
  <c r="F611" i="17"/>
  <c r="E589" i="17"/>
  <c r="E571" i="17"/>
  <c r="E547" i="17"/>
  <c r="E560" i="17"/>
  <c r="E534" i="17"/>
  <c r="F573" i="17"/>
  <c r="F536" i="17"/>
  <c r="F519" i="17"/>
  <c r="E495" i="17"/>
  <c r="E473" i="17"/>
  <c r="E455" i="17"/>
  <c r="E431" i="17"/>
  <c r="F511" i="17"/>
  <c r="F493" i="17"/>
  <c r="F469" i="17"/>
  <c r="F447" i="17"/>
  <c r="F429" i="17"/>
  <c r="F405" i="17"/>
  <c r="F43" i="17"/>
  <c r="F79" i="17"/>
  <c r="E30" i="17"/>
  <c r="E74" i="17"/>
  <c r="E613" i="17"/>
  <c r="E608" i="17"/>
  <c r="F586" i="17"/>
  <c r="F568" i="17"/>
  <c r="F552" i="17"/>
  <c r="E594" i="17"/>
  <c r="E574" i="17"/>
  <c r="E550" i="17"/>
  <c r="F537" i="17"/>
  <c r="F527" i="17"/>
  <c r="F583" i="17"/>
  <c r="F563" i="17"/>
  <c r="E543" i="17"/>
  <c r="E531" i="17"/>
  <c r="E521" i="17"/>
  <c r="F512" i="17"/>
  <c r="F500" i="17"/>
  <c r="F490" i="17"/>
  <c r="F480" i="17"/>
  <c r="F468" i="17"/>
  <c r="F458" i="17"/>
  <c r="F448" i="17"/>
  <c r="F436" i="17"/>
  <c r="F426" i="17"/>
  <c r="E518" i="17"/>
  <c r="E506" i="17"/>
  <c r="E496" i="17"/>
  <c r="E486" i="17"/>
  <c r="E474" i="17"/>
  <c r="E464" i="17"/>
  <c r="E454" i="17"/>
  <c r="E442" i="17"/>
  <c r="E432" i="17"/>
  <c r="E422" i="17"/>
  <c r="E410" i="17"/>
  <c r="E400" i="17"/>
  <c r="E390" i="17"/>
  <c r="E378" i="17"/>
  <c r="E368" i="17"/>
  <c r="E358" i="17"/>
  <c r="E346" i="17"/>
  <c r="E336" i="17"/>
  <c r="E326" i="17"/>
  <c r="E417" i="17"/>
  <c r="E407" i="17"/>
  <c r="E397" i="17"/>
  <c r="E385" i="17"/>
  <c r="E375" i="17"/>
  <c r="E365" i="17"/>
  <c r="E353" i="17"/>
  <c r="E343" i="17"/>
  <c r="E333" i="17"/>
  <c r="E321" i="17"/>
  <c r="F311" i="17"/>
  <c r="F301" i="17"/>
  <c r="F289" i="17"/>
  <c r="F279" i="17"/>
  <c r="F269" i="17"/>
  <c r="F257" i="17"/>
  <c r="F247" i="17"/>
  <c r="F237" i="17"/>
  <c r="F225" i="17"/>
  <c r="F215" i="17"/>
  <c r="F205" i="17"/>
  <c r="F193" i="17"/>
  <c r="F183" i="17"/>
  <c r="F173" i="17"/>
  <c r="F161" i="17"/>
  <c r="F151" i="17"/>
  <c r="F141" i="17"/>
  <c r="F129" i="17"/>
  <c r="F119" i="17"/>
  <c r="E313" i="17"/>
  <c r="E301" i="17"/>
  <c r="E291" i="17"/>
  <c r="E281" i="17"/>
  <c r="F387" i="17"/>
  <c r="F377" i="17"/>
  <c r="F367" i="17"/>
  <c r="F355" i="17"/>
  <c r="F345" i="17"/>
  <c r="F335" i="17"/>
  <c r="F323" i="17"/>
  <c r="F416" i="17"/>
  <c r="F406" i="17"/>
  <c r="F394" i="17"/>
  <c r="F384" i="17"/>
  <c r="F374" i="17"/>
  <c r="F362" i="17"/>
  <c r="F352" i="17"/>
  <c r="F342" i="17"/>
  <c r="F330" i="17"/>
  <c r="F320" i="17"/>
  <c r="E310" i="17"/>
  <c r="E298" i="17"/>
  <c r="E288" i="17"/>
  <c r="E278" i="17"/>
  <c r="E266" i="17"/>
  <c r="E256" i="17"/>
  <c r="E246" i="17"/>
  <c r="E238" i="17"/>
  <c r="E230" i="17"/>
  <c r="E222" i="17"/>
  <c r="E214" i="17"/>
  <c r="E206" i="17"/>
  <c r="E198" i="17"/>
  <c r="E190" i="17"/>
  <c r="E182" i="17"/>
  <c r="E174" i="17"/>
  <c r="E166" i="17"/>
  <c r="E158" i="17"/>
  <c r="E150" i="17"/>
  <c r="E142" i="17"/>
  <c r="E134" i="17"/>
  <c r="E126" i="17"/>
  <c r="E118" i="17"/>
  <c r="F314" i="17"/>
  <c r="F306" i="17"/>
  <c r="F298" i="17"/>
  <c r="F290" i="17"/>
  <c r="F282" i="17"/>
  <c r="F274" i="17"/>
  <c r="F266" i="17"/>
  <c r="F258" i="17"/>
  <c r="F250" i="17"/>
  <c r="F242" i="17"/>
  <c r="F234" i="17"/>
  <c r="F226" i="17"/>
  <c r="F218" i="17"/>
  <c r="F210" i="17"/>
  <c r="F202" i="17"/>
  <c r="F194" i="17"/>
  <c r="E265" i="17"/>
  <c r="E249" i="17"/>
  <c r="E233" i="17"/>
  <c r="E217" i="17"/>
  <c r="E201" i="17"/>
  <c r="E189" i="17"/>
  <c r="E181" i="17"/>
  <c r="E173" i="17"/>
  <c r="E165" i="17"/>
  <c r="E157" i="17"/>
  <c r="E109" i="17"/>
  <c r="E105" i="17"/>
  <c r="E101" i="17"/>
  <c r="E97" i="17"/>
  <c r="E93" i="17"/>
  <c r="E89" i="17"/>
  <c r="E85" i="17"/>
  <c r="E81" i="17"/>
  <c r="E77" i="17"/>
  <c r="E73" i="17"/>
  <c r="E69" i="17"/>
  <c r="E65" i="17"/>
  <c r="E61" i="17"/>
  <c r="E57" i="17"/>
  <c r="E53" i="17"/>
  <c r="E49" i="17"/>
  <c r="E45" i="17"/>
  <c r="E41" i="17"/>
  <c r="E37" i="17"/>
  <c r="E33" i="17"/>
  <c r="E29" i="17"/>
  <c r="E25" i="17"/>
  <c r="E21" i="17"/>
  <c r="E17" i="17"/>
  <c r="E13" i="17"/>
  <c r="F116" i="17"/>
  <c r="F124" i="17"/>
  <c r="F132" i="17"/>
  <c r="F140" i="17"/>
  <c r="F148" i="17"/>
  <c r="F156" i="17"/>
  <c r="F164" i="17"/>
  <c r="F172" i="17"/>
  <c r="F180" i="17"/>
  <c r="F188" i="17"/>
  <c r="E199" i="17"/>
  <c r="E215" i="17"/>
  <c r="E231" i="17"/>
  <c r="E247" i="17"/>
  <c r="E263" i="17"/>
  <c r="E279" i="17"/>
  <c r="E117" i="17"/>
  <c r="E125" i="17"/>
  <c r="E133" i="17"/>
  <c r="E141" i="17"/>
  <c r="E149" i="17"/>
  <c r="E163" i="17"/>
  <c r="E179" i="17"/>
  <c r="E197" i="17"/>
  <c r="E229" i="17"/>
  <c r="E261" i="17"/>
  <c r="F200" i="17"/>
  <c r="F216" i="17"/>
  <c r="F232" i="17"/>
  <c r="F248" i="17"/>
  <c r="F264" i="17"/>
  <c r="F280" i="17"/>
  <c r="F296" i="17"/>
  <c r="F312" i="17"/>
  <c r="E124" i="17"/>
  <c r="E140" i="17"/>
  <c r="E156" i="17"/>
  <c r="E172" i="17"/>
  <c r="E188" i="17"/>
  <c r="E204" i="17"/>
  <c r="E220" i="17"/>
  <c r="E236" i="17"/>
  <c r="E254" i="17"/>
  <c r="E274" i="17"/>
  <c r="E296" i="17"/>
  <c r="F318" i="17"/>
  <c r="F338" i="17"/>
  <c r="F360" i="17"/>
  <c r="F382" i="17"/>
  <c r="F402" i="17"/>
  <c r="F321" i="17"/>
  <c r="F343" i="17"/>
  <c r="F363" i="17"/>
  <c r="F385" i="17"/>
  <c r="E289" i="17"/>
  <c r="E309" i="17"/>
  <c r="F127" i="17"/>
  <c r="F149" i="17"/>
  <c r="F169" i="17"/>
  <c r="F191" i="17"/>
  <c r="F213" i="17"/>
  <c r="F233" i="17"/>
  <c r="F255" i="17"/>
  <c r="F277" i="17"/>
  <c r="F297" i="17"/>
  <c r="E319" i="17"/>
  <c r="E341" i="17"/>
  <c r="E361" i="17"/>
  <c r="E383" i="17"/>
  <c r="E405" i="17"/>
  <c r="E322" i="17"/>
  <c r="E344" i="17"/>
  <c r="E366" i="17"/>
  <c r="E386" i="17"/>
  <c r="E408" i="17"/>
  <c r="E430" i="17"/>
  <c r="E450" i="17"/>
  <c r="E472" i="17"/>
  <c r="E494" i="17"/>
  <c r="E514" i="17"/>
  <c r="F434" i="17"/>
  <c r="F456" i="17"/>
  <c r="F476" i="17"/>
  <c r="F498" i="17"/>
  <c r="E519" i="17"/>
  <c r="E539" i="17"/>
  <c r="F579" i="17"/>
  <c r="F535" i="17"/>
  <c r="E566" i="17"/>
  <c r="F550" i="17"/>
  <c r="F584" i="17"/>
  <c r="E605" i="17"/>
  <c r="E42" i="17"/>
  <c r="F47" i="17"/>
  <c r="F421" i="17"/>
  <c r="F463" i="17"/>
  <c r="F509" i="17"/>
  <c r="E447" i="17"/>
  <c r="E489" i="17"/>
  <c r="F534" i="17"/>
  <c r="E526" i="17"/>
  <c r="E592" i="17"/>
  <c r="E587" i="17"/>
  <c r="F608" i="17"/>
  <c r="E40" i="17"/>
  <c r="F45" i="17"/>
  <c r="B211" i="2"/>
  <c r="B170" i="2"/>
  <c r="AS88" i="21"/>
  <c r="AS36" i="21"/>
  <c r="AS54" i="21"/>
  <c r="AS22" i="21"/>
  <c r="AS72" i="21"/>
  <c r="AS61" i="21"/>
  <c r="AS68" i="21"/>
  <c r="AS19" i="21"/>
  <c r="AS20" i="21"/>
  <c r="AS46" i="21"/>
  <c r="AS97" i="21"/>
  <c r="AS105" i="21"/>
  <c r="AS74" i="21"/>
  <c r="AS86" i="21"/>
  <c r="AS35" i="21"/>
  <c r="AS34" i="21"/>
  <c r="AS81" i="21"/>
  <c r="AS64" i="21"/>
  <c r="AS31" i="21"/>
  <c r="AS41" i="21"/>
  <c r="AS25" i="21"/>
  <c r="AS12" i="21"/>
  <c r="AS32" i="21"/>
  <c r="AS94" i="21"/>
  <c r="AS102" i="21"/>
  <c r="AS70" i="21"/>
  <c r="AS84" i="21"/>
  <c r="AS49" i="21"/>
  <c r="AS27" i="21"/>
  <c r="AS47" i="21"/>
  <c r="AS28" i="21"/>
  <c r="AS87" i="21"/>
  <c r="AS77" i="21"/>
  <c r="AS67" i="21"/>
  <c r="AS63" i="21"/>
  <c r="AS58" i="21"/>
  <c r="AS30" i="21"/>
  <c r="AS52" i="21"/>
  <c r="AS37" i="21"/>
  <c r="AS23" i="21"/>
  <c r="AS15" i="21"/>
  <c r="AS11" i="21"/>
  <c r="AS17" i="21"/>
  <c r="AS42" i="21"/>
  <c r="AS91" i="21"/>
  <c r="AS95" i="21"/>
  <c r="AS99" i="21"/>
  <c r="AS103" i="21"/>
  <c r="AS107" i="21"/>
  <c r="AS71" i="21"/>
  <c r="AS78" i="21"/>
  <c r="AS80" i="21"/>
  <c r="AS39" i="21"/>
  <c r="AS83" i="21"/>
  <c r="AS65" i="21"/>
  <c r="AS38" i="21"/>
  <c r="AS45" i="21"/>
  <c r="AS29" i="21"/>
  <c r="AS13" i="21"/>
  <c r="AS59" i="21"/>
  <c r="AS93" i="21"/>
  <c r="AS101" i="21"/>
  <c r="AS109" i="21"/>
  <c r="AS55" i="21"/>
  <c r="AS50" i="21"/>
  <c r="AS89" i="21"/>
  <c r="AS69" i="21"/>
  <c r="AS60" i="21"/>
  <c r="AS56" i="21"/>
  <c r="AS16" i="21"/>
  <c r="AS18" i="21"/>
  <c r="AS51" i="21"/>
  <c r="AS98" i="21"/>
  <c r="AS106" i="21"/>
  <c r="AS76" i="21"/>
  <c r="AS90" i="21"/>
  <c r="AS82" i="21"/>
  <c r="AS40" i="21"/>
  <c r="AS57" i="21"/>
  <c r="AS43" i="21"/>
  <c r="AS26" i="21"/>
  <c r="AS85" i="21"/>
  <c r="AS75" i="21"/>
  <c r="AS66" i="21"/>
  <c r="AS62" i="21"/>
  <c r="AS53" i="21"/>
  <c r="AS24" i="21"/>
  <c r="AS48" i="21"/>
  <c r="AS33" i="21"/>
  <c r="AS21" i="21"/>
  <c r="AS14" i="21"/>
  <c r="AS9" i="21"/>
  <c r="AS10" i="21"/>
  <c r="AS44" i="21"/>
  <c r="AS92" i="21"/>
  <c r="AS96" i="21"/>
  <c r="AS100" i="21"/>
  <c r="AS104" i="21"/>
  <c r="AS108" i="21"/>
  <c r="AS73" i="21"/>
  <c r="AS79" i="21"/>
  <c r="F6" i="17"/>
  <c r="B276" i="2"/>
  <c r="B275" i="2"/>
  <c r="B277" i="2"/>
  <c r="B16" i="6"/>
  <c r="B17" i="6"/>
  <c r="B154" i="2" l="1"/>
  <c r="E66" i="1"/>
  <c r="B162" i="2"/>
  <c r="E623" i="17"/>
  <c r="P623" i="17"/>
  <c r="O623" i="17"/>
  <c r="B265" i="2"/>
  <c r="Q6" i="17"/>
  <c r="B135" i="2"/>
  <c r="S51" i="21"/>
  <c r="S83" i="21"/>
  <c r="P31" i="21"/>
  <c r="Q31" i="21" s="1"/>
  <c r="AE31" i="21" s="1"/>
  <c r="O31" i="21"/>
  <c r="P39" i="21"/>
  <c r="Q39" i="21" s="1"/>
  <c r="AE39" i="21" s="1"/>
  <c r="O39" i="21"/>
  <c r="AF16" i="21"/>
  <c r="P16" i="21"/>
  <c r="Q16" i="21" s="1"/>
  <c r="AE16" i="21" s="1"/>
  <c r="O16" i="21"/>
  <c r="AF17" i="21"/>
  <c r="O17" i="21"/>
  <c r="P17" i="21"/>
  <c r="Q17" i="21" s="1"/>
  <c r="AE17" i="21" s="1"/>
  <c r="AF109" i="21"/>
  <c r="O109" i="21"/>
  <c r="P109" i="21"/>
  <c r="Q109" i="21" s="1"/>
  <c r="AE109" i="21" s="1"/>
  <c r="O105" i="21"/>
  <c r="P105" i="21"/>
  <c r="Q105" i="21" s="1"/>
  <c r="AE105" i="21" s="1"/>
  <c r="O43" i="21"/>
  <c r="P43" i="21"/>
  <c r="Q43" i="21" s="1"/>
  <c r="AE43" i="21" s="1"/>
  <c r="P38" i="21"/>
  <c r="Q38" i="21" s="1"/>
  <c r="AE38" i="21" s="1"/>
  <c r="O38" i="21"/>
  <c r="O108" i="21"/>
  <c r="P108" i="21"/>
  <c r="Q108" i="21" s="1"/>
  <c r="AE108" i="21" s="1"/>
  <c r="P77" i="21"/>
  <c r="Q77" i="21" s="1"/>
  <c r="AE77" i="21" s="1"/>
  <c r="O77" i="21"/>
  <c r="AF103" i="21"/>
  <c r="P103" i="21"/>
  <c r="Q103" i="21" s="1"/>
  <c r="AE103" i="21" s="1"/>
  <c r="O103" i="21"/>
  <c r="P14" i="21"/>
  <c r="Q14" i="21" s="1"/>
  <c r="AE14" i="21" s="1"/>
  <c r="O14" i="21"/>
  <c r="O49" i="21"/>
  <c r="P49" i="21"/>
  <c r="Q49" i="21" s="1"/>
  <c r="AE49" i="21" s="1"/>
  <c r="P47" i="21"/>
  <c r="Q47" i="21" s="1"/>
  <c r="AE47" i="21" s="1"/>
  <c r="O47" i="21"/>
  <c r="AF102" i="21"/>
  <c r="P102" i="21"/>
  <c r="Q102" i="21" s="1"/>
  <c r="AE102" i="21" s="1"/>
  <c r="O102" i="21"/>
  <c r="AF82" i="21"/>
  <c r="O82" i="21"/>
  <c r="P82" i="21"/>
  <c r="Q82" i="21" s="1"/>
  <c r="AE82" i="21" s="1"/>
  <c r="AF80" i="21"/>
  <c r="P80" i="21"/>
  <c r="Q80" i="21" s="1"/>
  <c r="AE80" i="21" s="1"/>
  <c r="O80" i="21"/>
  <c r="O37" i="21"/>
  <c r="P37" i="21"/>
  <c r="Q37" i="21" s="1"/>
  <c r="AE37" i="21" s="1"/>
  <c r="P22" i="21"/>
  <c r="Q22" i="21" s="1"/>
  <c r="AE22" i="21" s="1"/>
  <c r="O22" i="21"/>
  <c r="P26" i="21"/>
  <c r="Q26" i="21" s="1"/>
  <c r="AE26" i="21" s="1"/>
  <c r="O26" i="21"/>
  <c r="AF46" i="21"/>
  <c r="P46" i="21"/>
  <c r="Q46" i="21" s="1"/>
  <c r="AE46" i="21" s="1"/>
  <c r="O46" i="21"/>
  <c r="O76" i="21"/>
  <c r="P76" i="21"/>
  <c r="Q76" i="21" s="1"/>
  <c r="AE76" i="21" s="1"/>
  <c r="P18" i="21"/>
  <c r="Q18" i="21" s="1"/>
  <c r="AE18" i="21" s="1"/>
  <c r="O18" i="21"/>
  <c r="O75" i="21"/>
  <c r="P75" i="21"/>
  <c r="Q75" i="21" s="1"/>
  <c r="AE75" i="21" s="1"/>
  <c r="B75" i="21"/>
  <c r="B76" i="21" s="1"/>
  <c r="AN86" i="21"/>
  <c r="BE86" i="21" s="1"/>
  <c r="S86" i="21"/>
  <c r="AN101" i="21"/>
  <c r="BE101" i="21" s="1"/>
  <c r="S101" i="21"/>
  <c r="AN50" i="21"/>
  <c r="BE50" i="21" s="1"/>
  <c r="S50" i="21"/>
  <c r="AN57" i="21"/>
  <c r="BE57" i="21" s="1"/>
  <c r="S57" i="21"/>
  <c r="AN52" i="21"/>
  <c r="BE52" i="21" s="1"/>
  <c r="S52" i="21"/>
  <c r="AN66" i="21"/>
  <c r="BE66" i="21" s="1"/>
  <c r="S66" i="21"/>
  <c r="AN59" i="21"/>
  <c r="BE59" i="21" s="1"/>
  <c r="S59" i="21"/>
  <c r="AN54" i="21"/>
  <c r="BE54" i="21" s="1"/>
  <c r="S54" i="21"/>
  <c r="AN58" i="21"/>
  <c r="BE58" i="21" s="1"/>
  <c r="S58" i="21"/>
  <c r="AN42" i="21"/>
  <c r="BE42" i="21" s="1"/>
  <c r="S42" i="21"/>
  <c r="AN23" i="21"/>
  <c r="BE23" i="21" s="1"/>
  <c r="S23" i="21"/>
  <c r="AN44" i="21"/>
  <c r="BE44" i="21" s="1"/>
  <c r="S44" i="21"/>
  <c r="AN99" i="21"/>
  <c r="BE99" i="21" s="1"/>
  <c r="S99" i="21"/>
  <c r="AN96" i="21"/>
  <c r="BE96" i="21" s="1"/>
  <c r="S96" i="21"/>
  <c r="AN94" i="21"/>
  <c r="BE94" i="21" s="1"/>
  <c r="S94" i="21"/>
  <c r="AN62" i="21"/>
  <c r="BE62" i="21" s="1"/>
  <c r="S62" i="21"/>
  <c r="AN72" i="21"/>
  <c r="BE72" i="21" s="1"/>
  <c r="S72" i="21"/>
  <c r="AN87" i="21"/>
  <c r="BE87" i="21" s="1"/>
  <c r="S87" i="21"/>
  <c r="AN93" i="21"/>
  <c r="BE93" i="21" s="1"/>
  <c r="S93" i="21"/>
  <c r="AN48" i="21"/>
  <c r="BE48" i="21" s="1"/>
  <c r="S48" i="21"/>
  <c r="AN97" i="21"/>
  <c r="BE97" i="21" s="1"/>
  <c r="S97" i="21"/>
  <c r="AN30" i="21"/>
  <c r="BE30" i="21" s="1"/>
  <c r="S30" i="21"/>
  <c r="AN61" i="21"/>
  <c r="BE61" i="21" s="1"/>
  <c r="S61" i="21"/>
  <c r="AN71" i="21"/>
  <c r="BE71" i="21" s="1"/>
  <c r="S71" i="21"/>
  <c r="AN81" i="21"/>
  <c r="BE81" i="21" s="1"/>
  <c r="S81" i="21"/>
  <c r="AN79" i="21"/>
  <c r="BE79" i="21" s="1"/>
  <c r="S79" i="21"/>
  <c r="AN11" i="21"/>
  <c r="BE11" i="21" s="1"/>
  <c r="S11" i="21"/>
  <c r="AN40" i="21"/>
  <c r="BE40" i="21" s="1"/>
  <c r="S40" i="21"/>
  <c r="AN100" i="21"/>
  <c r="BE100" i="21" s="1"/>
  <c r="S100" i="21"/>
  <c r="AN69" i="21"/>
  <c r="BE69" i="21" s="1"/>
  <c r="S69" i="21"/>
  <c r="AN56" i="21"/>
  <c r="BE56" i="21" s="1"/>
  <c r="S56" i="21"/>
  <c r="AN24" i="21"/>
  <c r="BE24" i="21" s="1"/>
  <c r="S24" i="21"/>
  <c r="AN106" i="21"/>
  <c r="BE106" i="21" s="1"/>
  <c r="S106" i="21"/>
  <c r="AN107" i="21"/>
  <c r="BE107" i="21" s="1"/>
  <c r="S107" i="21"/>
  <c r="AN53" i="21"/>
  <c r="BE53" i="21" s="1"/>
  <c r="S53" i="21"/>
  <c r="AN19" i="21"/>
  <c r="BE19" i="21" s="1"/>
  <c r="S19" i="21"/>
  <c r="AN55" i="21"/>
  <c r="BE55" i="21" s="1"/>
  <c r="S55" i="21"/>
  <c r="AN27" i="21"/>
  <c r="BE27" i="21" s="1"/>
  <c r="S27" i="21"/>
  <c r="AN95" i="21"/>
  <c r="BE95" i="21" s="1"/>
  <c r="S95" i="21"/>
  <c r="AN92" i="21"/>
  <c r="BE92" i="21" s="1"/>
  <c r="S92" i="21"/>
  <c r="AN21" i="21"/>
  <c r="BE21" i="21" s="1"/>
  <c r="S21" i="21"/>
  <c r="AN91" i="21"/>
  <c r="BE91" i="21" s="1"/>
  <c r="S91" i="21"/>
  <c r="AN29" i="21"/>
  <c r="BE29" i="21" s="1"/>
  <c r="S29" i="21"/>
  <c r="AN12" i="21"/>
  <c r="BE12" i="21" s="1"/>
  <c r="S12" i="21"/>
  <c r="AN25" i="21"/>
  <c r="BE25" i="21" s="1"/>
  <c r="S25" i="21"/>
  <c r="AN84" i="21"/>
  <c r="BE84" i="21" s="1"/>
  <c r="S84" i="21"/>
  <c r="AN20" i="21"/>
  <c r="BE20" i="21" s="1"/>
  <c r="S20" i="21"/>
  <c r="AN90" i="21"/>
  <c r="BE90" i="21" s="1"/>
  <c r="S90" i="21"/>
  <c r="AN15" i="21"/>
  <c r="BE15" i="21" s="1"/>
  <c r="S15" i="21"/>
  <c r="AN33" i="21"/>
  <c r="BE33" i="21" s="1"/>
  <c r="S33" i="21"/>
  <c r="AN88" i="21"/>
  <c r="BE88" i="21" s="1"/>
  <c r="S88" i="21"/>
  <c r="AN70" i="21"/>
  <c r="BE70" i="21" s="1"/>
  <c r="S70" i="21"/>
  <c r="AN45" i="21"/>
  <c r="BE45" i="21" s="1"/>
  <c r="S45" i="21"/>
  <c r="AN13" i="21"/>
  <c r="BE13" i="21" s="1"/>
  <c r="S13" i="21"/>
  <c r="AN78" i="21"/>
  <c r="BE78" i="21" s="1"/>
  <c r="S78" i="21"/>
  <c r="AN34" i="21"/>
  <c r="BE34" i="21" s="1"/>
  <c r="S34" i="21"/>
  <c r="AN63" i="21"/>
  <c r="BE63" i="21" s="1"/>
  <c r="S63" i="21"/>
  <c r="AN85" i="21"/>
  <c r="BE85" i="21" s="1"/>
  <c r="S85" i="21"/>
  <c r="AN89" i="21"/>
  <c r="BE89" i="21" s="1"/>
  <c r="S89" i="21"/>
  <c r="AN104" i="21"/>
  <c r="BE104" i="21" s="1"/>
  <c r="S104" i="21"/>
  <c r="AN41" i="21"/>
  <c r="BE41" i="21" s="1"/>
  <c r="S41" i="21"/>
  <c r="AN68" i="21"/>
  <c r="BE68" i="21" s="1"/>
  <c r="S68" i="21"/>
  <c r="AN36" i="21"/>
  <c r="BE36" i="21" s="1"/>
  <c r="S36" i="21"/>
  <c r="AN10" i="21"/>
  <c r="BE10" i="21" s="1"/>
  <c r="S10" i="21"/>
  <c r="AN98" i="21"/>
  <c r="BE98" i="21" s="1"/>
  <c r="S98" i="21"/>
  <c r="AN28" i="21"/>
  <c r="BE28" i="21" s="1"/>
  <c r="S28" i="21"/>
  <c r="AN74" i="21"/>
  <c r="BE74" i="21" s="1"/>
  <c r="S74" i="21"/>
  <c r="AN65" i="21"/>
  <c r="BE65" i="21" s="1"/>
  <c r="S65" i="21"/>
  <c r="AN73" i="21"/>
  <c r="BE73" i="21" s="1"/>
  <c r="S73" i="21"/>
  <c r="AN60" i="21"/>
  <c r="BE60" i="21" s="1"/>
  <c r="S60" i="21"/>
  <c r="AN32" i="21"/>
  <c r="BE32" i="21" s="1"/>
  <c r="S32" i="21"/>
  <c r="AN35" i="21"/>
  <c r="BE35" i="21" s="1"/>
  <c r="S35" i="21"/>
  <c r="AN67" i="21"/>
  <c r="BE67" i="21" s="1"/>
  <c r="S67" i="21"/>
  <c r="AN64" i="21"/>
  <c r="BE64" i="21" s="1"/>
  <c r="S64" i="21"/>
  <c r="AH76" i="21"/>
  <c r="AF76" i="21"/>
  <c r="AB18" i="21"/>
  <c r="AF18" i="21"/>
  <c r="AB75" i="21"/>
  <c r="AF75" i="21"/>
  <c r="Y39" i="21"/>
  <c r="AF39" i="21"/>
  <c r="Y105" i="21"/>
  <c r="AF105" i="21"/>
  <c r="AB37" i="21"/>
  <c r="AF37" i="21"/>
  <c r="AB43" i="21"/>
  <c r="AF43" i="21"/>
  <c r="Y14" i="21"/>
  <c r="AF14" i="21"/>
  <c r="AH49" i="21"/>
  <c r="AF49" i="21"/>
  <c r="AH47" i="21"/>
  <c r="AF47" i="21"/>
  <c r="AH31" i="21"/>
  <c r="AF31" i="21"/>
  <c r="AH38" i="21"/>
  <c r="AF38" i="21"/>
  <c r="AH22" i="21"/>
  <c r="AF22" i="21"/>
  <c r="AH108" i="21"/>
  <c r="AF108" i="21"/>
  <c r="AH77" i="21"/>
  <c r="AF77" i="21"/>
  <c r="AB26" i="21"/>
  <c r="AF26" i="21"/>
  <c r="AH75" i="21"/>
  <c r="Y75" i="21"/>
  <c r="V103" i="21"/>
  <c r="AJ103" i="21"/>
  <c r="R103" i="21"/>
  <c r="V46" i="21"/>
  <c r="AJ46" i="21"/>
  <c r="R46" i="21"/>
  <c r="V16" i="21"/>
  <c r="R16" i="21"/>
  <c r="AJ16" i="21"/>
  <c r="V17" i="21"/>
  <c r="R17" i="21"/>
  <c r="AJ17" i="21"/>
  <c r="V109" i="21"/>
  <c r="AJ109" i="21"/>
  <c r="R109" i="21"/>
  <c r="V102" i="21"/>
  <c r="R102" i="21"/>
  <c r="AJ102" i="21"/>
  <c r="V82" i="21"/>
  <c r="R82" i="21"/>
  <c r="AJ82" i="21"/>
  <c r="Y16" i="21"/>
  <c r="Y49" i="21"/>
  <c r="AH17" i="21"/>
  <c r="AB76" i="21"/>
  <c r="Y109" i="21"/>
  <c r="Y26" i="21"/>
  <c r="AH14" i="21"/>
  <c r="AB102" i="21"/>
  <c r="AH18" i="21"/>
  <c r="Y38" i="21"/>
  <c r="AB105" i="21"/>
  <c r="Y22" i="21"/>
  <c r="Y43" i="21"/>
  <c r="V31" i="21"/>
  <c r="R31" i="21"/>
  <c r="AJ31" i="21"/>
  <c r="V39" i="21"/>
  <c r="R39" i="21"/>
  <c r="AJ39" i="21"/>
  <c r="Y46" i="21"/>
  <c r="V80" i="21"/>
  <c r="R80" i="21"/>
  <c r="AJ80" i="21"/>
  <c r="Y103" i="21"/>
  <c r="AB16" i="21"/>
  <c r="Y76" i="21"/>
  <c r="AH109" i="21"/>
  <c r="AB31" i="21"/>
  <c r="AH39" i="21"/>
  <c r="AH102" i="21"/>
  <c r="Y82" i="21"/>
  <c r="Y80" i="21"/>
  <c r="AH43" i="21"/>
  <c r="AB46" i="21"/>
  <c r="V22" i="21"/>
  <c r="AJ22" i="21"/>
  <c r="R22" i="21"/>
  <c r="V108" i="21"/>
  <c r="R108" i="21"/>
  <c r="AJ108" i="21"/>
  <c r="V77" i="21"/>
  <c r="R77" i="21"/>
  <c r="AJ77" i="21"/>
  <c r="V26" i="21"/>
  <c r="R26" i="21"/>
  <c r="AJ26" i="21"/>
  <c r="AB103" i="21"/>
  <c r="AH16" i="21"/>
  <c r="AB17" i="21"/>
  <c r="AB77" i="21"/>
  <c r="AH26" i="21"/>
  <c r="V47" i="21"/>
  <c r="AJ47" i="21"/>
  <c r="R47" i="21"/>
  <c r="V105" i="21"/>
  <c r="R105" i="21"/>
  <c r="AJ105" i="21"/>
  <c r="AB39" i="21"/>
  <c r="V37" i="21"/>
  <c r="AJ37" i="21"/>
  <c r="R37" i="21"/>
  <c r="AB82" i="21"/>
  <c r="Y47" i="21"/>
  <c r="AB80" i="21"/>
  <c r="AH105" i="21"/>
  <c r="AB108" i="21"/>
  <c r="Y37" i="21"/>
  <c r="V75" i="21"/>
  <c r="AJ75" i="21"/>
  <c r="R75" i="21"/>
  <c r="V38" i="21"/>
  <c r="AJ38" i="21"/>
  <c r="R38" i="21"/>
  <c r="AH46" i="21"/>
  <c r="V14" i="21"/>
  <c r="R14" i="21"/>
  <c r="AJ14" i="21"/>
  <c r="V49" i="21"/>
  <c r="R49" i="21"/>
  <c r="AJ49" i="21"/>
  <c r="V76" i="21"/>
  <c r="R76" i="21"/>
  <c r="AJ76" i="21"/>
  <c r="V18" i="21"/>
  <c r="AJ18" i="21"/>
  <c r="R18" i="21"/>
  <c r="AH103" i="21"/>
  <c r="AB49" i="21"/>
  <c r="Y17" i="21"/>
  <c r="AB109" i="21"/>
  <c r="Y77" i="21"/>
  <c r="AB14" i="21"/>
  <c r="Y31" i="21"/>
  <c r="Y102" i="21"/>
  <c r="AH82" i="21"/>
  <c r="Y18" i="21"/>
  <c r="AB38" i="21"/>
  <c r="AB47" i="21"/>
  <c r="AH80" i="21"/>
  <c r="AB22" i="21"/>
  <c r="Y108" i="21"/>
  <c r="AH37" i="21"/>
  <c r="V43" i="21"/>
  <c r="AJ43" i="21"/>
  <c r="R43" i="21"/>
  <c r="F623" i="17"/>
  <c r="B90" i="2"/>
  <c r="B107" i="2"/>
  <c r="B105" i="2"/>
  <c r="E20" i="1" s="1"/>
  <c r="B368" i="2"/>
  <c r="B369" i="2" s="1"/>
  <c r="A418" i="2" l="1"/>
  <c r="E67" i="1"/>
  <c r="C52" i="16"/>
  <c r="D52" i="16" s="1"/>
  <c r="B138" i="2"/>
  <c r="E48" i="1" s="1"/>
  <c r="Q4" i="17"/>
  <c r="Q623" i="17" s="1"/>
  <c r="AN49" i="21"/>
  <c r="BE49" i="21" s="1"/>
  <c r="S49" i="21"/>
  <c r="AN18" i="21"/>
  <c r="BE18" i="21" s="1"/>
  <c r="S18" i="21"/>
  <c r="AN80" i="21"/>
  <c r="BE80" i="21" s="1"/>
  <c r="S80" i="21"/>
  <c r="AN17" i="21"/>
  <c r="BE17" i="21" s="1"/>
  <c r="S17" i="21"/>
  <c r="AN43" i="21"/>
  <c r="BE43" i="21" s="1"/>
  <c r="S43" i="21"/>
  <c r="AN38" i="21"/>
  <c r="BE38" i="21" s="1"/>
  <c r="S38" i="21"/>
  <c r="AN37" i="21"/>
  <c r="BE37" i="21" s="1"/>
  <c r="S37" i="21"/>
  <c r="AN26" i="21"/>
  <c r="BE26" i="21" s="1"/>
  <c r="S26" i="21"/>
  <c r="AN22" i="21"/>
  <c r="BE22" i="21" s="1"/>
  <c r="S22" i="21"/>
  <c r="AN46" i="21"/>
  <c r="BE46" i="21" s="1"/>
  <c r="S46" i="21"/>
  <c r="AN108" i="21"/>
  <c r="BE108" i="21" s="1"/>
  <c r="S108" i="21"/>
  <c r="AN31" i="21"/>
  <c r="BE31" i="21" s="1"/>
  <c r="S31" i="21"/>
  <c r="AN82" i="21"/>
  <c r="BE82" i="21" s="1"/>
  <c r="S82" i="21"/>
  <c r="AN16" i="21"/>
  <c r="BE16" i="21" s="1"/>
  <c r="S16" i="21"/>
  <c r="AN76" i="21"/>
  <c r="BE76" i="21" s="1"/>
  <c r="S76" i="21"/>
  <c r="AN75" i="21"/>
  <c r="BE75" i="21" s="1"/>
  <c r="S75" i="21"/>
  <c r="AN47" i="21"/>
  <c r="BE47" i="21" s="1"/>
  <c r="S47" i="21"/>
  <c r="U47" i="21" s="1"/>
  <c r="AN77" i="21"/>
  <c r="BE77" i="21" s="1"/>
  <c r="S77" i="21"/>
  <c r="AN39" i="21"/>
  <c r="BE39" i="21" s="1"/>
  <c r="S39" i="21"/>
  <c r="AN109" i="21"/>
  <c r="BE109" i="21" s="1"/>
  <c r="S109" i="21"/>
  <c r="U109" i="21" s="1"/>
  <c r="AN103" i="21"/>
  <c r="BE103" i="21" s="1"/>
  <c r="S103" i="21"/>
  <c r="AN14" i="21"/>
  <c r="BE14" i="21" s="1"/>
  <c r="S14" i="21"/>
  <c r="AN105" i="21"/>
  <c r="BE105" i="21" s="1"/>
  <c r="S105" i="21"/>
  <c r="U105" i="21" s="1"/>
  <c r="AN102" i="21"/>
  <c r="BE102" i="21" s="1"/>
  <c r="S102" i="21"/>
  <c r="B89" i="2"/>
  <c r="B92" i="2" s="1"/>
  <c r="E17" i="1" s="1"/>
  <c r="B106" i="2"/>
  <c r="B88" i="2"/>
  <c r="B63" i="2"/>
  <c r="AC77" i="21"/>
  <c r="AG77" i="21" s="1"/>
  <c r="AC11" i="21"/>
  <c r="AG11" i="21" s="1"/>
  <c r="AC86" i="21"/>
  <c r="AG86" i="21" s="1"/>
  <c r="AI56" i="21"/>
  <c r="Z81" i="21"/>
  <c r="AA81" i="21" s="1"/>
  <c r="U90" i="21"/>
  <c r="AC21" i="21"/>
  <c r="AG21" i="21" s="1"/>
  <c r="Z85" i="21"/>
  <c r="AA85" i="21" s="1"/>
  <c r="W69" i="21"/>
  <c r="X69" i="21" s="1"/>
  <c r="AI35" i="21"/>
  <c r="AI81" i="21"/>
  <c r="AI68" i="21"/>
  <c r="AK68" i="21" s="1"/>
  <c r="BD68" i="21" s="1"/>
  <c r="AX68" i="21" s="1"/>
  <c r="AI76" i="21"/>
  <c r="AI98" i="21"/>
  <c r="AK98" i="21" s="1"/>
  <c r="BD98" i="21" s="1"/>
  <c r="AX98" i="21" s="1"/>
  <c r="AI101" i="21"/>
  <c r="AI90" i="21"/>
  <c r="AI106" i="21"/>
  <c r="AI45" i="21"/>
  <c r="AC58" i="21"/>
  <c r="AG58" i="21" s="1"/>
  <c r="AC22" i="21"/>
  <c r="AG22" i="21" s="1"/>
  <c r="AC76" i="21"/>
  <c r="AG76" i="21" s="1"/>
  <c r="Z69" i="21"/>
  <c r="AA69" i="21" s="1"/>
  <c r="U58" i="21"/>
  <c r="W75" i="21"/>
  <c r="X75" i="21" s="1"/>
  <c r="AI93" i="21"/>
  <c r="AI55" i="21"/>
  <c r="AI43" i="21"/>
  <c r="AI53" i="21"/>
  <c r="AK53" i="21" s="1"/>
  <c r="BD53" i="21" s="1"/>
  <c r="AX53" i="21" s="1"/>
  <c r="AI102" i="21"/>
  <c r="AK102" i="21" s="1"/>
  <c r="BD102" i="21" s="1"/>
  <c r="AX102" i="21" s="1"/>
  <c r="U84" i="21"/>
  <c r="AC66" i="21"/>
  <c r="AG66" i="21" s="1"/>
  <c r="AC53" i="21"/>
  <c r="AG53" i="21" s="1"/>
  <c r="U94" i="21"/>
  <c r="AC70" i="21"/>
  <c r="AG70" i="21" s="1"/>
  <c r="U66" i="21"/>
  <c r="AI83" i="21"/>
  <c r="AI97" i="21"/>
  <c r="AI105" i="21"/>
  <c r="AI89" i="21"/>
  <c r="AI66" i="21"/>
  <c r="AK66" i="21" s="1"/>
  <c r="BD66" i="21" s="1"/>
  <c r="AX66" i="21" s="1"/>
  <c r="AC9" i="21"/>
  <c r="AG9" i="21" s="1"/>
  <c r="AC44" i="21"/>
  <c r="AG44" i="21" s="1"/>
  <c r="AI44" i="21"/>
  <c r="AK44" i="21" s="1"/>
  <c r="BD44" i="21" s="1"/>
  <c r="AX44" i="21" s="1"/>
  <c r="AI84" i="21"/>
  <c r="AK84" i="21" s="1"/>
  <c r="BD84" i="21" s="1"/>
  <c r="AX84" i="21" s="1"/>
  <c r="AI63" i="21"/>
  <c r="AC30" i="21"/>
  <c r="AG30" i="21" s="1"/>
  <c r="AI109" i="21"/>
  <c r="AC74" i="21"/>
  <c r="AG74" i="21" s="1"/>
  <c r="U70" i="21"/>
  <c r="W89" i="21"/>
  <c r="X89" i="21" s="1"/>
  <c r="AI57" i="21"/>
  <c r="AK57" i="21" s="1"/>
  <c r="BD57" i="21" s="1"/>
  <c r="AX57" i="21" s="1"/>
  <c r="AI58" i="21"/>
  <c r="AK58" i="21" s="1"/>
  <c r="BD58" i="21" s="1"/>
  <c r="AX58" i="21" s="1"/>
  <c r="AI42" i="21"/>
  <c r="Z89" i="21"/>
  <c r="AA89" i="21" s="1"/>
  <c r="AI82" i="21"/>
  <c r="AC55" i="21"/>
  <c r="AG55" i="21" s="1"/>
  <c r="AI62" i="21"/>
  <c r="AC24" i="21"/>
  <c r="AG24" i="21" s="1"/>
  <c r="AI94" i="21"/>
  <c r="AK94" i="21" s="1"/>
  <c r="BD94" i="21" s="1"/>
  <c r="AX94" i="21" s="1"/>
  <c r="AI70" i="21"/>
  <c r="AK70" i="21" s="1"/>
  <c r="BD70" i="21" s="1"/>
  <c r="AX70" i="21" s="1"/>
  <c r="AC36" i="21"/>
  <c r="AG36" i="21" s="1"/>
  <c r="AI47" i="21"/>
  <c r="AI72" i="21"/>
  <c r="AK72" i="21" s="1"/>
  <c r="BD72" i="21" s="1"/>
  <c r="AX72" i="21" s="1"/>
  <c r="AC67" i="21"/>
  <c r="AG67" i="21" s="1"/>
  <c r="AI74" i="21"/>
  <c r="AK74" i="21" s="1"/>
  <c r="BD74" i="21" s="1"/>
  <c r="AX74" i="21" s="1"/>
  <c r="AC47" i="21"/>
  <c r="AG47" i="21" s="1"/>
  <c r="U67" i="21"/>
  <c r="Z48" i="21"/>
  <c r="AA48" i="21" s="1"/>
  <c r="Z21" i="21"/>
  <c r="AA21" i="21" s="1"/>
  <c r="Z9" i="21"/>
  <c r="AA9" i="21" s="1"/>
  <c r="Z96" i="21"/>
  <c r="AA96" i="21" s="1"/>
  <c r="Z104" i="21"/>
  <c r="AA104" i="21" s="1"/>
  <c r="Z73" i="21"/>
  <c r="AA73" i="21" s="1"/>
  <c r="Z84" i="21"/>
  <c r="AA84" i="21" s="1"/>
  <c r="Z27" i="21"/>
  <c r="AA27" i="21" s="1"/>
  <c r="Z28" i="21"/>
  <c r="AA28" i="21" s="1"/>
  <c r="Z78" i="21"/>
  <c r="AA78" i="21" s="1"/>
  <c r="W85" i="21"/>
  <c r="X85" i="21" s="1"/>
  <c r="Z33" i="21"/>
  <c r="AA33" i="21" s="1"/>
  <c r="Z10" i="21"/>
  <c r="AA10" i="21" s="1"/>
  <c r="Z92" i="21"/>
  <c r="AA92" i="21" s="1"/>
  <c r="Z100" i="21"/>
  <c r="AA100" i="21" s="1"/>
  <c r="Z108" i="21"/>
  <c r="AA108" i="21" s="1"/>
  <c r="Z87" i="21"/>
  <c r="AA87" i="21" s="1"/>
  <c r="W81" i="21"/>
  <c r="X81" i="21" s="1"/>
  <c r="AC62" i="21"/>
  <c r="AG62" i="21" s="1"/>
  <c r="Z24" i="21"/>
  <c r="AA24" i="21" s="1"/>
  <c r="Z14" i="21"/>
  <c r="AA14" i="21" s="1"/>
  <c r="AC14" i="21"/>
  <c r="AG14" i="21" s="1"/>
  <c r="Z49" i="21"/>
  <c r="AA49" i="21" s="1"/>
  <c r="Z47" i="21"/>
  <c r="AA47" i="21" s="1"/>
  <c r="Z75" i="21"/>
  <c r="AA75" i="21" s="1"/>
  <c r="W83" i="21"/>
  <c r="X83" i="21" s="1"/>
  <c r="Z83" i="21"/>
  <c r="AA83" i="21" s="1"/>
  <c r="W93" i="21"/>
  <c r="X93" i="21" s="1"/>
  <c r="Z93" i="21"/>
  <c r="AA93" i="21" s="1"/>
  <c r="W97" i="21"/>
  <c r="X97" i="21" s="1"/>
  <c r="Z97" i="21"/>
  <c r="AA97" i="21" s="1"/>
  <c r="W101" i="21"/>
  <c r="X101" i="21" s="1"/>
  <c r="Z101" i="21"/>
  <c r="AA101" i="21" s="1"/>
  <c r="W105" i="21"/>
  <c r="X105" i="21" s="1"/>
  <c r="Z105" i="21"/>
  <c r="AA105" i="21" s="1"/>
  <c r="W109" i="21"/>
  <c r="X109" i="21" s="1"/>
  <c r="Z109" i="21"/>
  <c r="AA109" i="21" s="1"/>
  <c r="U55" i="21"/>
  <c r="AC63" i="21"/>
  <c r="AG63" i="21" s="1"/>
  <c r="U30" i="21"/>
  <c r="U15" i="21"/>
  <c r="AC15" i="21"/>
  <c r="AG15" i="21" s="1"/>
  <c r="U106" i="21"/>
  <c r="Z66" i="21"/>
  <c r="AA66" i="21" s="1"/>
  <c r="Z62" i="21"/>
  <c r="AA62" i="21" s="1"/>
  <c r="Z53" i="21"/>
  <c r="AA53" i="21" s="1"/>
  <c r="Z44" i="21"/>
  <c r="AA44" i="21" s="1"/>
  <c r="Z76" i="21"/>
  <c r="AA76" i="21" s="1"/>
  <c r="W90" i="21"/>
  <c r="X90" i="21" s="1"/>
  <c r="W82" i="21"/>
  <c r="X82" i="21" s="1"/>
  <c r="W40" i="21"/>
  <c r="X40" i="21" s="1"/>
  <c r="W57" i="21"/>
  <c r="X57" i="21" s="1"/>
  <c r="W43" i="21"/>
  <c r="X43" i="21" s="1"/>
  <c r="W26" i="21"/>
  <c r="X26" i="21" s="1"/>
  <c r="AI26" i="21"/>
  <c r="W79" i="21"/>
  <c r="X79" i="21" s="1"/>
  <c r="W67" i="21"/>
  <c r="X67" i="21" s="1"/>
  <c r="W63" i="21"/>
  <c r="X63" i="21" s="1"/>
  <c r="W58" i="21"/>
  <c r="X58" i="21" s="1"/>
  <c r="W30" i="21"/>
  <c r="X30" i="21" s="1"/>
  <c r="AI30" i="21"/>
  <c r="W52" i="21"/>
  <c r="X52" i="21" s="1"/>
  <c r="W37" i="21"/>
  <c r="X37" i="21" s="1"/>
  <c r="W23" i="21"/>
  <c r="X23" i="21" s="1"/>
  <c r="AI23" i="21"/>
  <c r="W15" i="21"/>
  <c r="X15" i="21" s="1"/>
  <c r="AI15" i="21"/>
  <c r="W11" i="21"/>
  <c r="X11" i="21" s="1"/>
  <c r="AI11" i="21"/>
  <c r="W17" i="21"/>
  <c r="X17" i="21" s="1"/>
  <c r="AI17" i="21"/>
  <c r="W42" i="21"/>
  <c r="X42" i="21" s="1"/>
  <c r="W91" i="21"/>
  <c r="X91" i="21" s="1"/>
  <c r="W95" i="21"/>
  <c r="X95" i="21" s="1"/>
  <c r="W99" i="21"/>
  <c r="X99" i="21" s="1"/>
  <c r="W103" i="21"/>
  <c r="X103" i="21" s="1"/>
  <c r="W107" i="21"/>
  <c r="X107" i="21" s="1"/>
  <c r="W71" i="21"/>
  <c r="X71" i="21" s="1"/>
  <c r="W86" i="21"/>
  <c r="X86" i="21" s="1"/>
  <c r="W55" i="21"/>
  <c r="X55" i="21" s="1"/>
  <c r="W35" i="21"/>
  <c r="X35" i="21" s="1"/>
  <c r="W50" i="21"/>
  <c r="X50" i="21" s="1"/>
  <c r="W34" i="21"/>
  <c r="X34" i="21" s="1"/>
  <c r="AI34" i="21"/>
  <c r="W64" i="21"/>
  <c r="X64" i="21" s="1"/>
  <c r="W60" i="21"/>
  <c r="X60" i="21" s="1"/>
  <c r="W31" i="21"/>
  <c r="X31" i="21" s="1"/>
  <c r="AI31" i="21"/>
  <c r="W56" i="21"/>
  <c r="X56" i="21" s="1"/>
  <c r="W41" i="21"/>
  <c r="X41" i="21" s="1"/>
  <c r="W25" i="21"/>
  <c r="X25" i="21" s="1"/>
  <c r="AI25" i="21"/>
  <c r="W16" i="21"/>
  <c r="X16" i="21" s="1"/>
  <c r="AI16" i="21"/>
  <c r="W12" i="21"/>
  <c r="X12" i="21" s="1"/>
  <c r="AI12" i="21"/>
  <c r="W18" i="21"/>
  <c r="X18" i="21" s="1"/>
  <c r="AI18" i="21"/>
  <c r="W32" i="21"/>
  <c r="X32" i="21" s="1"/>
  <c r="AI32" i="21"/>
  <c r="W51" i="21"/>
  <c r="X51" i="21" s="1"/>
  <c r="W94" i="21"/>
  <c r="X94" i="21" s="1"/>
  <c r="W98" i="21"/>
  <c r="X98" i="21" s="1"/>
  <c r="W102" i="21"/>
  <c r="X102" i="21" s="1"/>
  <c r="W106" i="21"/>
  <c r="X106" i="21" s="1"/>
  <c r="W70" i="21"/>
  <c r="X70" i="21" s="1"/>
  <c r="W88" i="21"/>
  <c r="X88" i="21" s="1"/>
  <c r="W80" i="21"/>
  <c r="X80" i="21" s="1"/>
  <c r="W36" i="21"/>
  <c r="X36" i="21" s="1"/>
  <c r="W54" i="21"/>
  <c r="X54" i="21" s="1"/>
  <c r="W39" i="21"/>
  <c r="X39" i="21" s="1"/>
  <c r="W22" i="21"/>
  <c r="X22" i="21" s="1"/>
  <c r="AI22" i="21"/>
  <c r="W72" i="21"/>
  <c r="X72" i="21" s="1"/>
  <c r="W65" i="21"/>
  <c r="X65" i="21" s="1"/>
  <c r="W61" i="21"/>
  <c r="X61" i="21" s="1"/>
  <c r="W38" i="21"/>
  <c r="X38" i="21" s="1"/>
  <c r="W68" i="21"/>
  <c r="X68" i="21" s="1"/>
  <c r="W45" i="21"/>
  <c r="X45" i="21" s="1"/>
  <c r="W29" i="21"/>
  <c r="X29" i="21" s="1"/>
  <c r="AI29" i="21"/>
  <c r="W19" i="21"/>
  <c r="X19" i="21" s="1"/>
  <c r="AI19" i="21"/>
  <c r="W13" i="21"/>
  <c r="X13" i="21" s="1"/>
  <c r="AI13" i="21"/>
  <c r="W20" i="21"/>
  <c r="X20" i="21" s="1"/>
  <c r="AI20" i="21"/>
  <c r="W59" i="21"/>
  <c r="X59" i="21" s="1"/>
  <c r="W46" i="21"/>
  <c r="X46" i="21" s="1"/>
  <c r="Z91" i="21"/>
  <c r="AA91" i="21" s="1"/>
  <c r="Z99" i="21"/>
  <c r="AA99" i="21" s="1"/>
  <c r="Z107" i="21"/>
  <c r="AA107" i="21" s="1"/>
  <c r="W74" i="21"/>
  <c r="X74" i="21" s="1"/>
  <c r="Z90" i="21"/>
  <c r="AA90" i="21" s="1"/>
  <c r="Z82" i="21"/>
  <c r="AA82" i="21" s="1"/>
  <c r="Z40" i="21"/>
  <c r="AA40" i="21" s="1"/>
  <c r="Z57" i="21"/>
  <c r="AA57" i="21" s="1"/>
  <c r="Z43" i="21"/>
  <c r="AA43" i="21" s="1"/>
  <c r="Z26" i="21"/>
  <c r="AA26" i="21" s="1"/>
  <c r="W66" i="21"/>
  <c r="X66" i="21" s="1"/>
  <c r="W62" i="21"/>
  <c r="X62" i="21" s="1"/>
  <c r="W53" i="21"/>
  <c r="X53" i="21" s="1"/>
  <c r="W24" i="21"/>
  <c r="X24" i="21" s="1"/>
  <c r="AI24" i="21"/>
  <c r="W48" i="21"/>
  <c r="X48" i="21" s="1"/>
  <c r="W33" i="21"/>
  <c r="X33" i="21" s="1"/>
  <c r="AI33" i="21"/>
  <c r="W21" i="21"/>
  <c r="X21" i="21" s="1"/>
  <c r="AI21" i="21"/>
  <c r="W14" i="21"/>
  <c r="X14" i="21" s="1"/>
  <c r="W9" i="21"/>
  <c r="X9" i="21" s="1"/>
  <c r="W10" i="21"/>
  <c r="X10" i="21" s="1"/>
  <c r="AI10" i="21"/>
  <c r="W44" i="21"/>
  <c r="X44" i="21" s="1"/>
  <c r="W92" i="21"/>
  <c r="X92" i="21" s="1"/>
  <c r="W96" i="21"/>
  <c r="X96" i="21" s="1"/>
  <c r="W100" i="21"/>
  <c r="X100" i="21" s="1"/>
  <c r="W104" i="21"/>
  <c r="X104" i="21" s="1"/>
  <c r="W108" i="21"/>
  <c r="X108" i="21" s="1"/>
  <c r="W73" i="21"/>
  <c r="X73" i="21" s="1"/>
  <c r="W84" i="21"/>
  <c r="X84" i="21" s="1"/>
  <c r="W49" i="21"/>
  <c r="X49" i="21" s="1"/>
  <c r="W27" i="21"/>
  <c r="X27" i="21" s="1"/>
  <c r="AI27" i="21"/>
  <c r="W47" i="21"/>
  <c r="X47" i="21" s="1"/>
  <c r="W28" i="21"/>
  <c r="X28" i="21" s="1"/>
  <c r="AI28" i="21"/>
  <c r="W87" i="21"/>
  <c r="X87" i="21" s="1"/>
  <c r="W77" i="21"/>
  <c r="X77" i="21" s="1"/>
  <c r="Z67" i="21"/>
  <c r="AA67" i="21" s="1"/>
  <c r="Z63" i="21"/>
  <c r="AA63" i="21" s="1"/>
  <c r="Z58" i="21"/>
  <c r="AA58" i="21" s="1"/>
  <c r="Z30" i="21"/>
  <c r="AA30" i="21" s="1"/>
  <c r="Z52" i="21"/>
  <c r="AA52" i="21" s="1"/>
  <c r="Z37" i="21"/>
  <c r="AA37" i="21" s="1"/>
  <c r="Z23" i="21"/>
  <c r="AA23" i="21" s="1"/>
  <c r="Z15" i="21"/>
  <c r="AA15" i="21" s="1"/>
  <c r="Z11" i="21"/>
  <c r="AA11" i="21" s="1"/>
  <c r="Z17" i="21"/>
  <c r="AA17" i="21" s="1"/>
  <c r="Z42" i="21"/>
  <c r="AA42" i="21" s="1"/>
  <c r="W78" i="21"/>
  <c r="X78" i="21" s="1"/>
  <c r="Z86" i="21"/>
  <c r="AA86" i="21" s="1"/>
  <c r="Z55" i="21"/>
  <c r="AA55" i="21" s="1"/>
  <c r="Z35" i="21"/>
  <c r="AA35" i="21" s="1"/>
  <c r="Z50" i="21"/>
  <c r="AA50" i="21" s="1"/>
  <c r="Z34" i="21"/>
  <c r="AA34" i="21" s="1"/>
  <c r="Z64" i="21"/>
  <c r="AA64" i="21" s="1"/>
  <c r="Z60" i="21"/>
  <c r="AA60" i="21" s="1"/>
  <c r="Z31" i="21"/>
  <c r="AA31" i="21" s="1"/>
  <c r="Z56" i="21"/>
  <c r="AA56" i="21" s="1"/>
  <c r="Z41" i="21"/>
  <c r="AA41" i="21" s="1"/>
  <c r="Z25" i="21"/>
  <c r="AA25" i="21" s="1"/>
  <c r="Z16" i="21"/>
  <c r="AA16" i="21" s="1"/>
  <c r="Z12" i="21"/>
  <c r="AA12" i="21" s="1"/>
  <c r="Z18" i="21"/>
  <c r="AA18" i="21" s="1"/>
  <c r="Z32" i="21"/>
  <c r="AA32" i="21" s="1"/>
  <c r="Z51" i="21"/>
  <c r="AA51" i="21" s="1"/>
  <c r="Z94" i="21"/>
  <c r="AA94" i="21" s="1"/>
  <c r="Z98" i="21"/>
  <c r="AA98" i="21" s="1"/>
  <c r="Z102" i="21"/>
  <c r="AA102" i="21" s="1"/>
  <c r="Z106" i="21"/>
  <c r="AA106" i="21" s="1"/>
  <c r="Z70" i="21"/>
  <c r="AA70" i="21" s="1"/>
  <c r="W76" i="21"/>
  <c r="X76" i="21" s="1"/>
  <c r="Z79" i="21"/>
  <c r="AA79" i="21" s="1"/>
  <c r="Z88" i="21"/>
  <c r="AA88" i="21" s="1"/>
  <c r="Z80" i="21"/>
  <c r="AA80" i="21" s="1"/>
  <c r="Z36" i="21"/>
  <c r="AA36" i="21" s="1"/>
  <c r="Z54" i="21"/>
  <c r="AA54" i="21" s="1"/>
  <c r="Z39" i="21"/>
  <c r="AA39" i="21" s="1"/>
  <c r="Z22" i="21"/>
  <c r="AA22" i="21" s="1"/>
  <c r="Z77" i="21"/>
  <c r="AA77" i="21" s="1"/>
  <c r="Z72" i="21"/>
  <c r="AA72" i="21" s="1"/>
  <c r="Z65" i="21"/>
  <c r="AA65" i="21" s="1"/>
  <c r="Z61" i="21"/>
  <c r="AA61" i="21" s="1"/>
  <c r="Z38" i="21"/>
  <c r="AA38" i="21" s="1"/>
  <c r="Z68" i="21"/>
  <c r="AA68" i="21" s="1"/>
  <c r="Z45" i="21"/>
  <c r="AA45" i="21" s="1"/>
  <c r="Z29" i="21"/>
  <c r="AA29" i="21" s="1"/>
  <c r="Z19" i="21"/>
  <c r="AA19" i="21" s="1"/>
  <c r="Z13" i="21"/>
  <c r="AA13" i="21" s="1"/>
  <c r="Z20" i="21"/>
  <c r="AA20" i="21" s="1"/>
  <c r="Z59" i="21"/>
  <c r="AA59" i="21" s="1"/>
  <c r="Z46" i="21"/>
  <c r="AA46" i="21" s="1"/>
  <c r="Z95" i="21"/>
  <c r="AA95" i="21" s="1"/>
  <c r="Z103" i="21"/>
  <c r="AA103" i="21" s="1"/>
  <c r="Z71" i="21"/>
  <c r="AA71" i="21" s="1"/>
  <c r="Z74" i="21"/>
  <c r="AA74" i="21" s="1"/>
  <c r="U81" i="21"/>
  <c r="U101" i="21"/>
  <c r="U74" i="21"/>
  <c r="AC57" i="21"/>
  <c r="AG57" i="21" s="1"/>
  <c r="AC45" i="21"/>
  <c r="AG45" i="21" s="1"/>
  <c r="U57" i="21"/>
  <c r="AI85" i="21"/>
  <c r="AI61" i="21"/>
  <c r="AI46" i="21"/>
  <c r="AI91" i="21"/>
  <c r="AI99" i="21"/>
  <c r="AI107" i="21"/>
  <c r="AC40" i="21"/>
  <c r="AG40" i="21" s="1"/>
  <c r="AC89" i="21"/>
  <c r="AG89" i="21" s="1"/>
  <c r="AC102" i="21"/>
  <c r="AG102" i="21" s="1"/>
  <c r="AC97" i="21"/>
  <c r="AG97" i="21" s="1"/>
  <c r="AC59" i="21"/>
  <c r="AG59" i="21" s="1"/>
  <c r="AC101" i="21"/>
  <c r="AG101" i="21" s="1"/>
  <c r="AC75" i="21"/>
  <c r="AG75" i="21" s="1"/>
  <c r="AI64" i="21"/>
  <c r="AI87" i="21"/>
  <c r="AC43" i="21"/>
  <c r="AG43" i="21" s="1"/>
  <c r="AC56" i="21"/>
  <c r="AG56" i="21" s="1"/>
  <c r="AC82" i="21"/>
  <c r="AG82" i="21" s="1"/>
  <c r="AC94" i="21"/>
  <c r="AG94" i="21" s="1"/>
  <c r="AC72" i="21"/>
  <c r="AG72" i="21" s="1"/>
  <c r="AC90" i="21"/>
  <c r="AG90" i="21" s="1"/>
  <c r="AC106" i="21"/>
  <c r="AG106" i="21" s="1"/>
  <c r="AC83" i="21"/>
  <c r="AG83" i="21" s="1"/>
  <c r="AC105" i="21"/>
  <c r="AG105" i="21" s="1"/>
  <c r="AC81" i="21"/>
  <c r="AG81" i="21" s="1"/>
  <c r="AC98" i="21"/>
  <c r="AG98" i="21" s="1"/>
  <c r="AC84" i="21"/>
  <c r="AG84" i="21" s="1"/>
  <c r="AC68" i="21"/>
  <c r="AG68" i="21" s="1"/>
  <c r="AC93" i="21"/>
  <c r="AG93" i="21" s="1"/>
  <c r="AC109" i="21"/>
  <c r="AG109" i="21" s="1"/>
  <c r="AC85" i="21"/>
  <c r="AG85" i="21" s="1"/>
  <c r="AC31" i="21"/>
  <c r="AG31" i="21" s="1"/>
  <c r="AC48" i="21"/>
  <c r="AG48" i="21" s="1"/>
  <c r="AC33" i="21"/>
  <c r="AG33" i="21" s="1"/>
  <c r="AC16" i="21"/>
  <c r="AG16" i="21" s="1"/>
  <c r="AC12" i="21"/>
  <c r="AG12" i="21" s="1"/>
  <c r="AC92" i="21"/>
  <c r="AG92" i="21" s="1"/>
  <c r="AC100" i="21"/>
  <c r="AG100" i="21" s="1"/>
  <c r="AC108" i="21"/>
  <c r="AG108" i="21" s="1"/>
  <c r="AC88" i="21"/>
  <c r="AG88" i="21" s="1"/>
  <c r="AC54" i="21"/>
  <c r="AG54" i="21" s="1"/>
  <c r="AC87" i="21"/>
  <c r="AG87" i="21" s="1"/>
  <c r="AC52" i="21"/>
  <c r="AG52" i="21" s="1"/>
  <c r="AC23" i="21"/>
  <c r="AG23" i="21" s="1"/>
  <c r="AC19" i="21"/>
  <c r="AG19" i="21" s="1"/>
  <c r="AC13" i="21"/>
  <c r="AG13" i="21" s="1"/>
  <c r="AC91" i="21"/>
  <c r="AG91" i="21" s="1"/>
  <c r="AC99" i="21"/>
  <c r="AG99" i="21" s="1"/>
  <c r="AC107" i="21"/>
  <c r="AG107" i="21" s="1"/>
  <c r="AC26" i="21"/>
  <c r="AG26" i="21" s="1"/>
  <c r="AC69" i="21"/>
  <c r="AG69" i="21" s="1"/>
  <c r="AC60" i="21"/>
  <c r="AG60" i="21" s="1"/>
  <c r="AC51" i="21"/>
  <c r="AG51" i="21" s="1"/>
  <c r="AC73" i="21"/>
  <c r="AG73" i="21" s="1"/>
  <c r="AC49" i="21"/>
  <c r="AG49" i="21" s="1"/>
  <c r="AC28" i="21"/>
  <c r="AG28" i="21" s="1"/>
  <c r="AC65" i="21"/>
  <c r="AG65" i="21" s="1"/>
  <c r="AC29" i="21"/>
  <c r="AG29" i="21" s="1"/>
  <c r="AC71" i="21"/>
  <c r="AG71" i="21" s="1"/>
  <c r="AC38" i="21"/>
  <c r="AG38" i="21" s="1"/>
  <c r="AC37" i="21"/>
  <c r="AG37" i="21" s="1"/>
  <c r="B80" i="21"/>
  <c r="AC50" i="21"/>
  <c r="AG50" i="21" s="1"/>
  <c r="AC34" i="21"/>
  <c r="AG34" i="21" s="1"/>
  <c r="AC10" i="21"/>
  <c r="AG10" i="21" s="1"/>
  <c r="AC32" i="21"/>
  <c r="AG32" i="21" s="1"/>
  <c r="AC96" i="21"/>
  <c r="AG96" i="21" s="1"/>
  <c r="AC104" i="21"/>
  <c r="AG104" i="21" s="1"/>
  <c r="AC80" i="21"/>
  <c r="AG80" i="21" s="1"/>
  <c r="AC27" i="21"/>
  <c r="AG27" i="21" s="1"/>
  <c r="AC17" i="21"/>
  <c r="AG17" i="21" s="1"/>
  <c r="AC95" i="21"/>
  <c r="AG95" i="21" s="1"/>
  <c r="AC103" i="21"/>
  <c r="AG103" i="21" s="1"/>
  <c r="AC64" i="21"/>
  <c r="AG64" i="21" s="1"/>
  <c r="AC41" i="21"/>
  <c r="AG41" i="21" s="1"/>
  <c r="AC25" i="21"/>
  <c r="AG25" i="21" s="1"/>
  <c r="AC18" i="21"/>
  <c r="AG18" i="21" s="1"/>
  <c r="AC79" i="21"/>
  <c r="AG79" i="21" s="1"/>
  <c r="AC61" i="21"/>
  <c r="AG61" i="21" s="1"/>
  <c r="AC20" i="21"/>
  <c r="AG20" i="21" s="1"/>
  <c r="AC46" i="21"/>
  <c r="AG46" i="21" s="1"/>
  <c r="AC78" i="21"/>
  <c r="AG78" i="21" s="1"/>
  <c r="AC35" i="21"/>
  <c r="AG35" i="21" s="1"/>
  <c r="AC39" i="21"/>
  <c r="AG39" i="21" s="1"/>
  <c r="AC42" i="21"/>
  <c r="AG42" i="21" s="1"/>
  <c r="G594" i="17"/>
  <c r="B155" i="2"/>
  <c r="H44" i="17"/>
  <c r="H107" i="17"/>
  <c r="H571" i="17"/>
  <c r="H93" i="17"/>
  <c r="H407" i="17"/>
  <c r="H247" i="17"/>
  <c r="H305" i="17"/>
  <c r="G484" i="17"/>
  <c r="G582" i="17"/>
  <c r="G59" i="17"/>
  <c r="H362" i="17"/>
  <c r="G367" i="17"/>
  <c r="G49" i="17"/>
  <c r="H561" i="17"/>
  <c r="H350" i="17"/>
  <c r="H292" i="17"/>
  <c r="G491" i="17"/>
  <c r="G34" i="17"/>
  <c r="H152" i="17"/>
  <c r="H54" i="17"/>
  <c r="H315" i="17"/>
  <c r="H105" i="17"/>
  <c r="G490" i="17"/>
  <c r="H448" i="17"/>
  <c r="G533" i="17"/>
  <c r="H172" i="17"/>
  <c r="G177" i="17"/>
  <c r="H433" i="17"/>
  <c r="G352" i="17"/>
  <c r="G94" i="17"/>
  <c r="G269" i="17"/>
  <c r="H35" i="17"/>
  <c r="G455" i="17"/>
  <c r="H364" i="17"/>
  <c r="G176" i="17"/>
  <c r="H546" i="17"/>
  <c r="G326" i="17"/>
  <c r="H194" i="17"/>
  <c r="H284" i="17"/>
  <c r="G427" i="17"/>
  <c r="H182" i="17"/>
  <c r="G187" i="17"/>
  <c r="H443" i="17"/>
  <c r="G362" i="17"/>
  <c r="G106" i="17"/>
  <c r="G281" i="17"/>
  <c r="H597" i="17"/>
  <c r="G248" i="17"/>
  <c r="H576" i="17"/>
  <c r="G469" i="17"/>
  <c r="G597" i="17"/>
  <c r="H108" i="17"/>
  <c r="H236" i="17"/>
  <c r="G113" i="17"/>
  <c r="G241" i="17"/>
  <c r="H369" i="17"/>
  <c r="H497" i="17"/>
  <c r="G288" i="17"/>
  <c r="G416" i="17"/>
  <c r="H221" i="17"/>
  <c r="G222" i="17"/>
  <c r="H478" i="17"/>
  <c r="G397" i="17"/>
  <c r="G548" i="17"/>
  <c r="G36" i="17"/>
  <c r="H548" i="17"/>
  <c r="G583" i="17"/>
  <c r="G108" i="17"/>
  <c r="G283" i="17"/>
  <c r="H600" i="17"/>
  <c r="H175" i="17"/>
  <c r="G454" i="17"/>
  <c r="H290" i="17"/>
  <c r="H33" i="17"/>
  <c r="H535" i="17"/>
  <c r="G199" i="17"/>
  <c r="H25" i="17"/>
  <c r="G54" i="17"/>
  <c r="G21" i="17"/>
  <c r="H57" i="17"/>
  <c r="H118" i="17"/>
  <c r="H246" i="17"/>
  <c r="G123" i="17"/>
  <c r="G251" i="17"/>
  <c r="H379" i="17"/>
  <c r="H507" i="17"/>
  <c r="G298" i="17"/>
  <c r="G426" i="17"/>
  <c r="H233" i="17"/>
  <c r="G234" i="17"/>
  <c r="H490" i="17"/>
  <c r="G409" i="17"/>
  <c r="G554" i="17"/>
  <c r="H119" i="17"/>
  <c r="G120" i="17"/>
  <c r="H376" i="17"/>
  <c r="H512" i="17"/>
  <c r="G303" i="17"/>
  <c r="G431" i="17"/>
  <c r="G501" i="17"/>
  <c r="G565" i="17"/>
  <c r="H626" i="17"/>
  <c r="H76" i="17"/>
  <c r="H140" i="17"/>
  <c r="H204" i="17"/>
  <c r="G17" i="17"/>
  <c r="G81" i="17"/>
  <c r="G145" i="17"/>
  <c r="G209" i="17"/>
  <c r="H273" i="17"/>
  <c r="H337" i="17"/>
  <c r="H401" i="17"/>
  <c r="H465" i="17"/>
  <c r="H529" i="17"/>
  <c r="H596" i="17"/>
  <c r="G320" i="17"/>
  <c r="G384" i="17"/>
  <c r="H29" i="17"/>
  <c r="H157" i="17"/>
  <c r="G30" i="17"/>
  <c r="G158" i="17"/>
  <c r="H286" i="17"/>
  <c r="H414" i="17"/>
  <c r="H542" i="17"/>
  <c r="G333" i="17"/>
  <c r="G452" i="17"/>
  <c r="G516" i="17"/>
  <c r="G580" i="17"/>
  <c r="H163" i="17"/>
  <c r="G164" i="17"/>
  <c r="H420" i="17"/>
  <c r="G339" i="17"/>
  <c r="G519" i="17"/>
  <c r="G604" i="17"/>
  <c r="H235" i="17"/>
  <c r="G236" i="17"/>
  <c r="H492" i="17"/>
  <c r="G411" i="17"/>
  <c r="G555" i="17"/>
  <c r="H304" i="17"/>
  <c r="G48" i="17"/>
  <c r="H47" i="17"/>
  <c r="G518" i="17"/>
  <c r="G337" i="17"/>
  <c r="H418" i="17"/>
  <c r="G162" i="17"/>
  <c r="H161" i="17"/>
  <c r="G390" i="17"/>
  <c r="H608" i="17"/>
  <c r="H471" i="17"/>
  <c r="H327" i="17"/>
  <c r="G71" i="17"/>
  <c r="H158" i="17"/>
  <c r="H408" i="17"/>
  <c r="H413" i="17"/>
  <c r="G600" i="17"/>
  <c r="G250" i="17"/>
  <c r="H294" i="17"/>
  <c r="H325" i="17"/>
  <c r="G101" i="17"/>
  <c r="E23" i="1"/>
  <c r="H419" i="17"/>
  <c r="G595" i="17"/>
  <c r="H316" i="17"/>
  <c r="H160" i="17"/>
  <c r="H187" i="17"/>
  <c r="H133" i="17"/>
  <c r="H64" i="17"/>
  <c r="G274" i="17"/>
  <c r="G612" i="17"/>
  <c r="G456" i="17"/>
  <c r="H37" i="17"/>
  <c r="H277" i="17"/>
  <c r="H16" i="17"/>
  <c r="H135" i="17"/>
  <c r="H515" i="17"/>
  <c r="G451" i="17"/>
  <c r="H27" i="17"/>
  <c r="G212" i="17"/>
  <c r="G464" i="17"/>
  <c r="H310" i="17"/>
  <c r="H53" i="17"/>
  <c r="H541" i="17"/>
  <c r="H285" i="17"/>
  <c r="G29" i="17"/>
  <c r="H24" i="17"/>
  <c r="G327" i="17"/>
  <c r="H167" i="17"/>
  <c r="H282" i="17"/>
  <c r="H531" i="17"/>
  <c r="H238" i="17"/>
  <c r="H42" i="17"/>
  <c r="H162" i="17"/>
  <c r="H226" i="17"/>
  <c r="G39" i="17"/>
  <c r="G103" i="17"/>
  <c r="G167" i="17"/>
  <c r="G231" i="17"/>
  <c r="H295" i="17"/>
  <c r="H359" i="17"/>
  <c r="H391" i="17"/>
  <c r="H423" i="17"/>
  <c r="H455" i="17"/>
  <c r="H487" i="17"/>
  <c r="H519" i="17"/>
  <c r="H551" i="17"/>
  <c r="H583" i="17"/>
  <c r="G278" i="17"/>
  <c r="G310" i="17"/>
  <c r="G342" i="17"/>
  <c r="G374" i="17"/>
  <c r="G406" i="17"/>
  <c r="G438" i="17"/>
  <c r="H65" i="17"/>
  <c r="H129" i="17"/>
  <c r="H193" i="17"/>
  <c r="H257" i="17"/>
  <c r="G66" i="17"/>
  <c r="G130" i="17"/>
  <c r="G194" i="17"/>
  <c r="G258" i="17"/>
  <c r="H322" i="17"/>
  <c r="H386" i="17"/>
  <c r="H450" i="17"/>
  <c r="H514" i="17"/>
  <c r="H578" i="17"/>
  <c r="G305" i="17"/>
  <c r="G369" i="17"/>
  <c r="G433" i="17"/>
  <c r="G470" i="17"/>
  <c r="G502" i="17"/>
  <c r="G534" i="17"/>
  <c r="G566" i="17"/>
  <c r="G598" i="17"/>
  <c r="H15" i="17"/>
  <c r="H79" i="17"/>
  <c r="H143" i="17"/>
  <c r="H207" i="17"/>
  <c r="G16" i="17"/>
  <c r="G80" i="17"/>
  <c r="G144" i="17"/>
  <c r="G208" i="17"/>
  <c r="H272" i="17"/>
  <c r="H336" i="17"/>
  <c r="H22" i="17"/>
  <c r="H86" i="17"/>
  <c r="H150" i="17"/>
  <c r="H214" i="17"/>
  <c r="G27" i="17"/>
  <c r="G91" i="17"/>
  <c r="G155" i="17"/>
  <c r="G219" i="17"/>
  <c r="H283" i="17"/>
  <c r="H347" i="17"/>
  <c r="H411" i="17"/>
  <c r="H475" i="17"/>
  <c r="H539" i="17"/>
  <c r="G266" i="17"/>
  <c r="G330" i="17"/>
  <c r="G394" i="17"/>
  <c r="H41" i="17"/>
  <c r="H169" i="17"/>
  <c r="G42" i="17"/>
  <c r="G170" i="17"/>
  <c r="H298" i="17"/>
  <c r="H426" i="17"/>
  <c r="H554" i="17"/>
  <c r="G345" i="17"/>
  <c r="G458" i="17"/>
  <c r="G522" i="17"/>
  <c r="G586" i="17"/>
  <c r="H55" i="17"/>
  <c r="H183" i="17"/>
  <c r="G56" i="17"/>
  <c r="G184" i="17"/>
  <c r="H312" i="17"/>
  <c r="H416" i="17"/>
  <c r="H480" i="17"/>
  <c r="H544" i="17"/>
  <c r="G271" i="17"/>
  <c r="G335" i="17"/>
  <c r="G399" i="17"/>
  <c r="G453" i="17"/>
  <c r="G485" i="17"/>
  <c r="G517" i="17"/>
  <c r="G549" i="17"/>
  <c r="G581" i="17"/>
  <c r="G613" i="17"/>
  <c r="H28" i="17"/>
  <c r="H60" i="17"/>
  <c r="H92" i="17"/>
  <c r="H124" i="17"/>
  <c r="H156" i="17"/>
  <c r="H188" i="17"/>
  <c r="H220" i="17"/>
  <c r="H252" i="17"/>
  <c r="G33" i="17"/>
  <c r="G65" i="17"/>
  <c r="G97" i="17"/>
  <c r="G129" i="17"/>
  <c r="G161" i="17"/>
  <c r="G193" i="17"/>
  <c r="G225" i="17"/>
  <c r="G257" i="17"/>
  <c r="H289" i="17"/>
  <c r="H321" i="17"/>
  <c r="H353" i="17"/>
  <c r="H385" i="17"/>
  <c r="H417" i="17"/>
  <c r="H449" i="17"/>
  <c r="H481" i="17"/>
  <c r="H513" i="17"/>
  <c r="H545" i="17"/>
  <c r="H577" i="17"/>
  <c r="G272" i="17"/>
  <c r="G304" i="17"/>
  <c r="G336" i="17"/>
  <c r="G368" i="17"/>
  <c r="G400" i="17"/>
  <c r="G432" i="17"/>
  <c r="H61" i="17"/>
  <c r="H125" i="17"/>
  <c r="H189" i="17"/>
  <c r="H253" i="17"/>
  <c r="G62" i="17"/>
  <c r="G126" i="17"/>
  <c r="G190" i="17"/>
  <c r="G254" i="17"/>
  <c r="H318" i="17"/>
  <c r="H382" i="17"/>
  <c r="H446" i="17"/>
  <c r="H510" i="17"/>
  <c r="H574" i="17"/>
  <c r="G301" i="17"/>
  <c r="G365" i="17"/>
  <c r="G429" i="17"/>
  <c r="G468" i="17"/>
  <c r="G500" i="17"/>
  <c r="G532" i="17"/>
  <c r="G564" i="17"/>
  <c r="G608" i="17"/>
  <c r="H99" i="17"/>
  <c r="H227" i="17"/>
  <c r="G100" i="17"/>
  <c r="G228" i="17"/>
  <c r="H356" i="17"/>
  <c r="H484" i="17"/>
  <c r="G275" i="17"/>
  <c r="G403" i="17"/>
  <c r="G487" i="17"/>
  <c r="G551" i="17"/>
  <c r="H591" i="17"/>
  <c r="H43" i="17"/>
  <c r="H171" i="17"/>
  <c r="G44" i="17"/>
  <c r="G172" i="17"/>
  <c r="H300" i="17"/>
  <c r="H428" i="17"/>
  <c r="H556" i="17"/>
  <c r="G347" i="17"/>
  <c r="G459" i="17"/>
  <c r="G523" i="17"/>
  <c r="G587" i="17"/>
  <c r="H368" i="17"/>
  <c r="G240" i="17"/>
  <c r="G112" i="17"/>
  <c r="H239" i="17"/>
  <c r="H111" i="17"/>
  <c r="H13" i="17"/>
  <c r="G550" i="17"/>
  <c r="G486" i="17"/>
  <c r="G401" i="17"/>
  <c r="G273" i="17"/>
  <c r="H482" i="17"/>
  <c r="H354" i="17"/>
  <c r="G226" i="17"/>
  <c r="G98" i="17"/>
  <c r="H225" i="17"/>
  <c r="H97" i="17"/>
  <c r="G422" i="17"/>
  <c r="G358" i="17"/>
  <c r="G294" i="17"/>
  <c r="H567" i="17"/>
  <c r="H503" i="17"/>
  <c r="H439" i="17"/>
  <c r="H375" i="17"/>
  <c r="G263" i="17"/>
  <c r="G135" i="17"/>
  <c r="H258" i="17"/>
  <c r="H106" i="17"/>
  <c r="H275" i="17"/>
  <c r="G450" i="17"/>
  <c r="G513" i="17"/>
  <c r="G157" i="17"/>
  <c r="G332" i="17"/>
  <c r="H566" i="17"/>
  <c r="G387" i="17"/>
  <c r="H206" i="17"/>
  <c r="G311" i="17"/>
  <c r="H533" i="17"/>
  <c r="G180" i="17"/>
  <c r="G72" i="17"/>
  <c r="G504" i="17"/>
  <c r="G70" i="17"/>
  <c r="G559" i="17"/>
  <c r="H485" i="17"/>
  <c r="H454" i="17"/>
  <c r="H570" i="17"/>
  <c r="H593" i="17"/>
  <c r="H421" i="17"/>
  <c r="H424" i="17"/>
  <c r="G531" i="17"/>
  <c r="H372" i="17"/>
  <c r="H390" i="17"/>
  <c r="H581" i="17"/>
  <c r="G69" i="17"/>
  <c r="G407" i="17"/>
  <c r="H442" i="17"/>
  <c r="G99" i="17"/>
  <c r="G252" i="17"/>
  <c r="G355" i="17"/>
  <c r="G584" i="17"/>
  <c r="H550" i="17"/>
  <c r="G38" i="17"/>
  <c r="G324" i="17"/>
  <c r="H405" i="17"/>
  <c r="G149" i="17"/>
  <c r="H144" i="17"/>
  <c r="G505" i="17"/>
  <c r="H392" i="17"/>
  <c r="G425" i="17"/>
  <c r="G434" i="17"/>
  <c r="G259" i="17"/>
  <c r="G579" i="17"/>
  <c r="H540" i="17"/>
  <c r="G28" i="17"/>
  <c r="G543" i="17"/>
  <c r="H468" i="17"/>
  <c r="H211" i="17"/>
  <c r="G528" i="17"/>
  <c r="G357" i="17"/>
  <c r="H438" i="17"/>
  <c r="G182" i="17"/>
  <c r="H181" i="17"/>
  <c r="G396" i="17"/>
  <c r="G268" i="17"/>
  <c r="H477" i="17"/>
  <c r="H349" i="17"/>
  <c r="G221" i="17"/>
  <c r="G93" i="17"/>
  <c r="H216" i="17"/>
  <c r="H88" i="17"/>
  <c r="G577" i="17"/>
  <c r="G449" i="17"/>
  <c r="H536" i="17"/>
  <c r="G168" i="17"/>
  <c r="G578" i="17"/>
  <c r="H538" i="17"/>
  <c r="G26" i="17"/>
  <c r="G322" i="17"/>
  <c r="H403" i="17"/>
  <c r="G147" i="17"/>
  <c r="G35" i="17"/>
  <c r="H623" i="17"/>
  <c r="H74" i="17"/>
  <c r="H138" i="17"/>
  <c r="H178" i="17"/>
  <c r="H210" i="17"/>
  <c r="H242" i="17"/>
  <c r="G23" i="17"/>
  <c r="G55" i="17"/>
  <c r="G87" i="17"/>
  <c r="G119" i="17"/>
  <c r="G151" i="17"/>
  <c r="G183" i="17"/>
  <c r="G215" i="17"/>
  <c r="G247" i="17"/>
  <c r="H279" i="17"/>
  <c r="H311" i="17"/>
  <c r="H343" i="17"/>
  <c r="H30" i="17"/>
  <c r="G404" i="17"/>
  <c r="G585" i="17"/>
  <c r="G229" i="17"/>
  <c r="H572" i="17"/>
  <c r="G198" i="17"/>
  <c r="H224" i="17"/>
  <c r="G58" i="17"/>
  <c r="G60" i="17"/>
  <c r="G536" i="17"/>
  <c r="H197" i="17"/>
  <c r="H357" i="17"/>
  <c r="H96" i="17"/>
  <c r="G200" i="17"/>
  <c r="G338" i="17"/>
  <c r="G467" i="17"/>
  <c r="H59" i="17"/>
  <c r="G244" i="17"/>
  <c r="G472" i="17"/>
  <c r="H326" i="17"/>
  <c r="H69" i="17"/>
  <c r="H549" i="17"/>
  <c r="H293" i="17"/>
  <c r="G37" i="17"/>
  <c r="H32" i="17"/>
  <c r="G343" i="17"/>
  <c r="H199" i="17"/>
  <c r="H314" i="17"/>
  <c r="H547" i="17"/>
  <c r="G19" i="17"/>
  <c r="G363" i="17"/>
  <c r="G188" i="17"/>
  <c r="H607" i="17"/>
  <c r="G291" i="17"/>
  <c r="G116" i="17"/>
  <c r="G568" i="17"/>
  <c r="G437" i="17"/>
  <c r="H518" i="17"/>
  <c r="G262" i="17"/>
  <c r="H261" i="17"/>
  <c r="G436" i="17"/>
  <c r="G308" i="17"/>
  <c r="H517" i="17"/>
  <c r="H389" i="17"/>
  <c r="G261" i="17"/>
  <c r="G133" i="17"/>
  <c r="H256" i="17"/>
  <c r="H128" i="17"/>
  <c r="H595" i="17"/>
  <c r="G489" i="17"/>
  <c r="G279" i="17"/>
  <c r="H328" i="17"/>
  <c r="H71" i="17"/>
  <c r="G361" i="17"/>
  <c r="G186" i="17"/>
  <c r="G402" i="17"/>
  <c r="H483" i="17"/>
  <c r="G227" i="17"/>
  <c r="H142" i="17"/>
  <c r="G499" i="17"/>
  <c r="G299" i="17"/>
  <c r="H380" i="17"/>
  <c r="G124" i="17"/>
  <c r="H123" i="17"/>
  <c r="G591" i="17"/>
  <c r="G463" i="17"/>
  <c r="H564" i="17"/>
  <c r="H308" i="17"/>
  <c r="G52" i="17"/>
  <c r="H51" i="17"/>
  <c r="G552" i="17"/>
  <c r="G488" i="17"/>
  <c r="G405" i="17"/>
  <c r="G277" i="17"/>
  <c r="H486" i="17"/>
  <c r="H358" i="17"/>
  <c r="G230" i="17"/>
  <c r="G102" i="17"/>
  <c r="H229" i="17"/>
  <c r="H101" i="17"/>
  <c r="G420" i="17"/>
  <c r="G356" i="17"/>
  <c r="G292" i="17"/>
  <c r="H565" i="17"/>
  <c r="H501" i="17"/>
  <c r="H437" i="17"/>
  <c r="H373" i="17"/>
  <c r="H309" i="17"/>
  <c r="G245" i="17"/>
  <c r="G181" i="17"/>
  <c r="G117" i="17"/>
  <c r="G53" i="17"/>
  <c r="H240" i="17"/>
  <c r="H176" i="17"/>
  <c r="H112" i="17"/>
  <c r="H48" i="17"/>
  <c r="G601" i="17"/>
  <c r="G537" i="17"/>
  <c r="G473" i="17"/>
  <c r="G375" i="17"/>
  <c r="H584" i="17"/>
  <c r="H456" i="17"/>
  <c r="G264" i="17"/>
  <c r="H263" i="17"/>
  <c r="H613" i="17"/>
  <c r="G498" i="17"/>
  <c r="G297" i="17"/>
  <c r="H378" i="17"/>
  <c r="G122" i="17"/>
  <c r="H121" i="17"/>
  <c r="G370" i="17"/>
  <c r="H579" i="17"/>
  <c r="H451" i="17"/>
  <c r="H323" i="17"/>
  <c r="G195" i="17"/>
  <c r="G67" i="17"/>
  <c r="H78" i="17"/>
  <c r="G611" i="17"/>
  <c r="G547" i="17"/>
  <c r="G483" i="17"/>
  <c r="G395" i="17"/>
  <c r="G267" i="17"/>
  <c r="H476" i="17"/>
  <c r="H348" i="17"/>
  <c r="G220" i="17"/>
  <c r="G92" i="17"/>
  <c r="H219" i="17"/>
  <c r="H91" i="17"/>
  <c r="G596" i="17"/>
  <c r="G575" i="17"/>
  <c r="G511" i="17"/>
  <c r="G447" i="17"/>
  <c r="G323" i="17"/>
  <c r="H532" i="17"/>
  <c r="H404" i="17"/>
  <c r="H276" i="17"/>
  <c r="G148" i="17"/>
  <c r="G20" i="17"/>
  <c r="H147" i="17"/>
  <c r="H19" i="17"/>
  <c r="G576" i="17"/>
  <c r="G544" i="17"/>
  <c r="G512" i="17"/>
  <c r="G480" i="17"/>
  <c r="G448" i="17"/>
  <c r="G389" i="17"/>
  <c r="G325" i="17"/>
  <c r="H606" i="17"/>
  <c r="H534" i="17"/>
  <c r="H470" i="17"/>
  <c r="H406" i="17"/>
  <c r="H342" i="17"/>
  <c r="H278" i="17"/>
  <c r="G214" i="17"/>
  <c r="G150" i="17"/>
  <c r="G86" i="17"/>
  <c r="G22" i="17"/>
  <c r="H213" i="17"/>
  <c r="H149" i="17"/>
  <c r="H85" i="17"/>
  <c r="H21" i="17"/>
  <c r="G412" i="17"/>
  <c r="G380" i="17"/>
  <c r="G348" i="17"/>
  <c r="G316" i="17"/>
  <c r="G284" i="17"/>
  <c r="H589" i="17"/>
  <c r="H557" i="17"/>
  <c r="H525" i="17"/>
  <c r="H493" i="17"/>
  <c r="H461" i="17"/>
  <c r="H429" i="17"/>
  <c r="H397" i="17"/>
  <c r="H365" i="17"/>
  <c r="H333" i="17"/>
  <c r="H301" i="17"/>
  <c r="H269" i="17"/>
  <c r="G237" i="17"/>
  <c r="G205" i="17"/>
  <c r="G173" i="17"/>
  <c r="G141" i="17"/>
  <c r="G109" i="17"/>
  <c r="G77" i="17"/>
  <c r="G45" i="17"/>
  <c r="H264" i="17"/>
  <c r="H232" i="17"/>
  <c r="H200" i="17"/>
  <c r="H168" i="17"/>
  <c r="H136" i="17"/>
  <c r="H104" i="17"/>
  <c r="H72" i="17"/>
  <c r="H40" i="17"/>
  <c r="H611" i="17"/>
  <c r="G593" i="17"/>
  <c r="G561" i="17"/>
  <c r="G529" i="17"/>
  <c r="G497" i="17"/>
  <c r="G465" i="17"/>
  <c r="G423" i="17"/>
  <c r="G359" i="17"/>
  <c r="G295" i="17"/>
  <c r="H568" i="17"/>
  <c r="H504" i="17"/>
  <c r="H440" i="17"/>
  <c r="H360" i="17"/>
  <c r="G232" i="17"/>
  <c r="G104" i="17"/>
  <c r="H231" i="17"/>
  <c r="H103" i="17"/>
  <c r="G610" i="17"/>
  <c r="G546" i="17"/>
  <c r="G482" i="17"/>
  <c r="G393" i="17"/>
  <c r="G13" i="17"/>
  <c r="H474" i="17"/>
  <c r="H346" i="17"/>
  <c r="G218" i="17"/>
  <c r="G90" i="17"/>
  <c r="H217" i="17"/>
  <c r="H89" i="17"/>
  <c r="G418" i="17"/>
  <c r="G354" i="17"/>
  <c r="G290" i="17"/>
  <c r="H563" i="17"/>
  <c r="H499" i="17"/>
  <c r="H435" i="17"/>
  <c r="H371" i="17"/>
  <c r="H307" i="17"/>
  <c r="G243" i="17"/>
  <c r="G179" i="17"/>
  <c r="G115" i="17"/>
  <c r="G51" i="17"/>
  <c r="H174" i="17"/>
  <c r="H46" i="17"/>
  <c r="H254" i="17"/>
  <c r="H190" i="17"/>
  <c r="H126" i="17"/>
  <c r="H62" i="17"/>
  <c r="H18" i="17"/>
  <c r="H34" i="17"/>
  <c r="H50" i="17"/>
  <c r="H66" i="17"/>
  <c r="H82" i="17"/>
  <c r="H98" i="17"/>
  <c r="H114" i="17"/>
  <c r="H130" i="17"/>
  <c r="H146" i="17"/>
  <c r="G623" i="17"/>
  <c r="H38" i="17"/>
  <c r="H70" i="17"/>
  <c r="H102" i="17"/>
  <c r="H134" i="17"/>
  <c r="H166" i="17"/>
  <c r="H198" i="17"/>
  <c r="H230" i="17"/>
  <c r="H262" i="17"/>
  <c r="G43" i="17"/>
  <c r="G75" i="17"/>
  <c r="G107" i="17"/>
  <c r="G139" i="17"/>
  <c r="G171" i="17"/>
  <c r="G203" i="17"/>
  <c r="G235" i="17"/>
  <c r="H267" i="17"/>
  <c r="H299" i="17"/>
  <c r="H331" i="17"/>
  <c r="H363" i="17"/>
  <c r="H395" i="17"/>
  <c r="H427" i="17"/>
  <c r="H459" i="17"/>
  <c r="H491" i="17"/>
  <c r="H523" i="17"/>
  <c r="H555" i="17"/>
  <c r="H587" i="17"/>
  <c r="G282" i="17"/>
  <c r="G314" i="17"/>
  <c r="G346" i="17"/>
  <c r="G378" i="17"/>
  <c r="G410" i="17"/>
  <c r="G442" i="17"/>
  <c r="H73" i="17"/>
  <c r="H137" i="17"/>
  <c r="H201" i="17"/>
  <c r="H265" i="17"/>
  <c r="G74" i="17"/>
  <c r="G138" i="17"/>
  <c r="G202" i="17"/>
  <c r="H266" i="17"/>
  <c r="H330" i="17"/>
  <c r="H394" i="17"/>
  <c r="H458" i="17"/>
  <c r="H522" i="17"/>
  <c r="H586" i="17"/>
  <c r="G313" i="17"/>
  <c r="G377" i="17"/>
  <c r="G441" i="17"/>
  <c r="G474" i="17"/>
  <c r="G506" i="17"/>
  <c r="G538" i="17"/>
  <c r="G570" i="17"/>
  <c r="G602" i="17"/>
  <c r="H23" i="17"/>
  <c r="H87" i="17"/>
  <c r="H151" i="17"/>
  <c r="H215" i="17"/>
  <c r="G24" i="17"/>
  <c r="G88" i="17"/>
  <c r="G152" i="17"/>
  <c r="G216" i="17"/>
  <c r="H280" i="17"/>
  <c r="H344" i="17"/>
  <c r="H400" i="17"/>
  <c r="H432" i="17"/>
  <c r="H464" i="17"/>
  <c r="H496" i="17"/>
  <c r="H528" i="17"/>
  <c r="H560" i="17"/>
  <c r="H594" i="17"/>
  <c r="G287" i="17"/>
  <c r="G319" i="17"/>
  <c r="G351" i="17"/>
  <c r="G383" i="17"/>
  <c r="G415" i="17"/>
  <c r="G445" i="17"/>
  <c r="G461" i="17"/>
  <c r="G477" i="17"/>
  <c r="G493" i="17"/>
  <c r="G509" i="17"/>
  <c r="G525" i="17"/>
  <c r="G541" i="17"/>
  <c r="G557" i="17"/>
  <c r="G573" i="17"/>
  <c r="G589" i="17"/>
  <c r="G605" i="17"/>
  <c r="H603" i="17"/>
  <c r="H20" i="17"/>
  <c r="H36" i="17"/>
  <c r="H52" i="17"/>
  <c r="H68" i="17"/>
  <c r="H84" i="17"/>
  <c r="H100" i="17"/>
  <c r="H116" i="17"/>
  <c r="H132" i="17"/>
  <c r="H148" i="17"/>
  <c r="H164" i="17"/>
  <c r="H180" i="17"/>
  <c r="H196" i="17"/>
  <c r="H212" i="17"/>
  <c r="H228" i="17"/>
  <c r="H244" i="17"/>
  <c r="H260" i="17"/>
  <c r="G25" i="17"/>
  <c r="G41" i="17"/>
  <c r="G57" i="17"/>
  <c r="G73" i="17"/>
  <c r="G89" i="17"/>
  <c r="G105" i="17"/>
  <c r="G121" i="17"/>
  <c r="G137" i="17"/>
  <c r="G153" i="17"/>
  <c r="G169" i="17"/>
  <c r="G185" i="17"/>
  <c r="G201" i="17"/>
  <c r="G217" i="17"/>
  <c r="G233" i="17"/>
  <c r="G249" i="17"/>
  <c r="G265" i="17"/>
  <c r="H281" i="17"/>
  <c r="H297" i="17"/>
  <c r="H313" i="17"/>
  <c r="H329" i="17"/>
  <c r="H345" i="17"/>
  <c r="H361" i="17"/>
  <c r="H377" i="17"/>
  <c r="H393" i="17"/>
  <c r="H409" i="17"/>
  <c r="H425" i="17"/>
  <c r="H441" i="17"/>
  <c r="H457" i="17"/>
  <c r="H473" i="17"/>
  <c r="H489" i="17"/>
  <c r="H505" i="17"/>
  <c r="H521" i="17"/>
  <c r="H537" i="17"/>
  <c r="H553" i="17"/>
  <c r="H569" i="17"/>
  <c r="H585" i="17"/>
  <c r="H612" i="17"/>
  <c r="G280" i="17"/>
  <c r="G296" i="17"/>
  <c r="G312" i="17"/>
  <c r="G328" i="17"/>
  <c r="G344" i="17"/>
  <c r="G360" i="17"/>
  <c r="G376" i="17"/>
  <c r="G392" i="17"/>
  <c r="G408" i="17"/>
  <c r="G424" i="17"/>
  <c r="G440" i="17"/>
  <c r="H45" i="17"/>
  <c r="H77" i="17"/>
  <c r="H109" i="17"/>
  <c r="H141" i="17"/>
  <c r="H173" i="17"/>
  <c r="H205" i="17"/>
  <c r="H237" i="17"/>
  <c r="G14" i="17"/>
  <c r="G46" i="17"/>
  <c r="G78" i="17"/>
  <c r="G110" i="17"/>
  <c r="G142" i="17"/>
  <c r="G174" i="17"/>
  <c r="G206" i="17"/>
  <c r="G238" i="17"/>
  <c r="H270" i="17"/>
  <c r="H302" i="17"/>
  <c r="H334" i="17"/>
  <c r="H366" i="17"/>
  <c r="H398" i="17"/>
  <c r="H430" i="17"/>
  <c r="H462" i="17"/>
  <c r="H494" i="17"/>
  <c r="H526" i="17"/>
  <c r="H558" i="17"/>
  <c r="H590" i="17"/>
  <c r="G285" i="17"/>
  <c r="G317" i="17"/>
  <c r="G349" i="17"/>
  <c r="G381" i="17"/>
  <c r="G413" i="17"/>
  <c r="G444" i="17"/>
  <c r="G460" i="17"/>
  <c r="G476" i="17"/>
  <c r="G492" i="17"/>
  <c r="G508" i="17"/>
  <c r="G524" i="17"/>
  <c r="G540" i="17"/>
  <c r="G556" i="17"/>
  <c r="G572" i="17"/>
  <c r="G592" i="17"/>
  <c r="H609" i="17"/>
  <c r="H67" i="17"/>
  <c r="H131" i="17"/>
  <c r="H195" i="17"/>
  <c r="H259" i="17"/>
  <c r="G68" i="17"/>
  <c r="G132" i="17"/>
  <c r="G196" i="17"/>
  <c r="G260" i="17"/>
  <c r="H324" i="17"/>
  <c r="H388" i="17"/>
  <c r="H452" i="17"/>
  <c r="H516" i="17"/>
  <c r="H580" i="17"/>
  <c r="G307" i="17"/>
  <c r="G371" i="17"/>
  <c r="G435" i="17"/>
  <c r="G471" i="17"/>
  <c r="G503" i="17"/>
  <c r="G535" i="17"/>
  <c r="G567" i="17"/>
  <c r="G599" i="17"/>
  <c r="G588" i="17"/>
  <c r="H602" i="17"/>
  <c r="H75" i="17"/>
  <c r="H139" i="17"/>
  <c r="H203" i="17"/>
  <c r="G626" i="17"/>
  <c r="G76" i="17"/>
  <c r="G140" i="17"/>
  <c r="G204" i="17"/>
  <c r="H268" i="17"/>
  <c r="H332" i="17"/>
  <c r="H396" i="17"/>
  <c r="H460" i="17"/>
  <c r="H524" i="17"/>
  <c r="H588" i="17"/>
  <c r="G315" i="17"/>
  <c r="G379" i="17"/>
  <c r="G443" i="17"/>
  <c r="G475" i="17"/>
  <c r="G507" i="17"/>
  <c r="G539" i="17"/>
  <c r="G571" i="17"/>
  <c r="G603" i="17"/>
  <c r="H384" i="17"/>
  <c r="H352" i="17"/>
  <c r="H320" i="17"/>
  <c r="H288" i="17"/>
  <c r="G256" i="17"/>
  <c r="G224" i="17"/>
  <c r="G192" i="17"/>
  <c r="G160" i="17"/>
  <c r="G128" i="17"/>
  <c r="G96" i="17"/>
  <c r="G64" i="17"/>
  <c r="G32" i="17"/>
  <c r="H255" i="17"/>
  <c r="H223" i="17"/>
  <c r="H191" i="17"/>
  <c r="H159" i="17"/>
  <c r="H127" i="17"/>
  <c r="H95" i="17"/>
  <c r="H63" i="17"/>
  <c r="H31" i="17"/>
  <c r="H605" i="17"/>
  <c r="G606" i="17"/>
  <c r="G590" i="17"/>
  <c r="G574" i="17"/>
  <c r="G558" i="17"/>
  <c r="G542" i="17"/>
  <c r="G526" i="17"/>
  <c r="G510" i="17"/>
  <c r="G494" i="17"/>
  <c r="G478" i="17"/>
  <c r="G462" i="17"/>
  <c r="G446" i="17"/>
  <c r="G417" i="17"/>
  <c r="G385" i="17"/>
  <c r="G353" i="17"/>
  <c r="G321" i="17"/>
  <c r="G289" i="17"/>
  <c r="H598" i="17"/>
  <c r="H562" i="17"/>
  <c r="H530" i="17"/>
  <c r="H498" i="17"/>
  <c r="H466" i="17"/>
  <c r="H434" i="17"/>
  <c r="H402" i="17"/>
  <c r="H370" i="17"/>
  <c r="H338" i="17"/>
  <c r="H306" i="17"/>
  <c r="H274" i="17"/>
  <c r="G242" i="17"/>
  <c r="G210" i="17"/>
  <c r="G178" i="17"/>
  <c r="G146" i="17"/>
  <c r="G114" i="17"/>
  <c r="G82" i="17"/>
  <c r="G50" i="17"/>
  <c r="G18" i="17"/>
  <c r="H241" i="17"/>
  <c r="H209" i="17"/>
  <c r="H177" i="17"/>
  <c r="H145" i="17"/>
  <c r="H113" i="17"/>
  <c r="H81" i="17"/>
  <c r="H49" i="17"/>
  <c r="H17" i="17"/>
  <c r="G430" i="17"/>
  <c r="G414" i="17"/>
  <c r="G398" i="17"/>
  <c r="G382" i="17"/>
  <c r="G366" i="17"/>
  <c r="G350" i="17"/>
  <c r="G334" i="17"/>
  <c r="G318" i="17"/>
  <c r="G302" i="17"/>
  <c r="G286" i="17"/>
  <c r="G270" i="17"/>
  <c r="H592" i="17"/>
  <c r="H575" i="17"/>
  <c r="H559" i="17"/>
  <c r="H543" i="17"/>
  <c r="H527" i="17"/>
  <c r="H511" i="17"/>
  <c r="H495" i="17"/>
  <c r="H479" i="17"/>
  <c r="H463" i="17"/>
  <c r="H447" i="17"/>
  <c r="H431" i="17"/>
  <c r="H415" i="17"/>
  <c r="H399" i="17"/>
  <c r="H383" i="17"/>
  <c r="H367" i="17"/>
  <c r="H351" i="17"/>
  <c r="H335" i="17"/>
  <c r="H319" i="17"/>
  <c r="H303" i="17"/>
  <c r="H287" i="17"/>
  <c r="H271" i="17"/>
  <c r="G255" i="17"/>
  <c r="G239" i="17"/>
  <c r="G223" i="17"/>
  <c r="G207" i="17"/>
  <c r="G191" i="17"/>
  <c r="G175" i="17"/>
  <c r="G159" i="17"/>
  <c r="G143" i="17"/>
  <c r="G127" i="17"/>
  <c r="G111" i="17"/>
  <c r="G95" i="17"/>
  <c r="G79" i="17"/>
  <c r="G63" i="17"/>
  <c r="G47" i="17"/>
  <c r="G31" i="17"/>
  <c r="G15" i="17"/>
  <c r="H250" i="17"/>
  <c r="H234" i="17"/>
  <c r="H218" i="17"/>
  <c r="H202" i="17"/>
  <c r="H186" i="17"/>
  <c r="H170" i="17"/>
  <c r="H154" i="17"/>
  <c r="H122" i="17"/>
  <c r="H90" i="17"/>
  <c r="H58" i="17"/>
  <c r="H26" i="17"/>
  <c r="H94" i="17"/>
  <c r="H222" i="17"/>
  <c r="H110" i="17"/>
  <c r="G83" i="17"/>
  <c r="G211" i="17"/>
  <c r="H339" i="17"/>
  <c r="H467" i="17"/>
  <c r="H599" i="17"/>
  <c r="G386" i="17"/>
  <c r="H153" i="17"/>
  <c r="G154" i="17"/>
  <c r="H410" i="17"/>
  <c r="G329" i="17"/>
  <c r="G514" i="17"/>
  <c r="H39" i="17"/>
  <c r="G40" i="17"/>
  <c r="H296" i="17"/>
  <c r="H472" i="17"/>
  <c r="H610" i="17"/>
  <c r="G391" i="17"/>
  <c r="G481" i="17"/>
  <c r="G545" i="17"/>
  <c r="G609" i="17"/>
  <c r="H56" i="17"/>
  <c r="H120" i="17"/>
  <c r="H184" i="17"/>
  <c r="H248" i="17"/>
  <c r="G61" i="17"/>
  <c r="G125" i="17"/>
  <c r="G189" i="17"/>
  <c r="G253" i="17"/>
  <c r="H317" i="17"/>
  <c r="H381" i="17"/>
  <c r="H445" i="17"/>
  <c r="H509" i="17"/>
  <c r="H573" i="17"/>
  <c r="G300" i="17"/>
  <c r="G364" i="17"/>
  <c r="G428" i="17"/>
  <c r="H117" i="17"/>
  <c r="H245" i="17"/>
  <c r="G118" i="17"/>
  <c r="G246" i="17"/>
  <c r="H374" i="17"/>
  <c r="H502" i="17"/>
  <c r="G293" i="17"/>
  <c r="G421" i="17"/>
  <c r="G496" i="17"/>
  <c r="G560" i="17"/>
  <c r="H83" i="17"/>
  <c r="G84" i="17"/>
  <c r="H340" i="17"/>
  <c r="H601" i="17"/>
  <c r="G479" i="17"/>
  <c r="G607" i="17"/>
  <c r="H155" i="17"/>
  <c r="G156" i="17"/>
  <c r="H412" i="17"/>
  <c r="G331" i="17"/>
  <c r="G515" i="17"/>
  <c r="H14" i="17"/>
  <c r="G131" i="17"/>
  <c r="H387" i="17"/>
  <c r="G306" i="17"/>
  <c r="H249" i="17"/>
  <c r="H506" i="17"/>
  <c r="G562" i="17"/>
  <c r="G136" i="17"/>
  <c r="H520" i="17"/>
  <c r="G439" i="17"/>
  <c r="G569" i="17"/>
  <c r="H80" i="17"/>
  <c r="H208" i="17"/>
  <c r="G85" i="17"/>
  <c r="G213" i="17"/>
  <c r="H341" i="17"/>
  <c r="H469" i="17"/>
  <c r="H604" i="17"/>
  <c r="G388" i="17"/>
  <c r="H165" i="17"/>
  <c r="G166" i="17"/>
  <c r="H422" i="17"/>
  <c r="G341" i="17"/>
  <c r="G520" i="17"/>
  <c r="H179" i="17"/>
  <c r="H436" i="17"/>
  <c r="G527" i="17"/>
  <c r="H251" i="17"/>
  <c r="H508" i="17"/>
  <c r="G563" i="17"/>
  <c r="H355" i="17"/>
  <c r="H185" i="17"/>
  <c r="G530" i="17"/>
  <c r="H488" i="17"/>
  <c r="G553" i="17"/>
  <c r="H192" i="17"/>
  <c r="G197" i="17"/>
  <c r="H453" i="17"/>
  <c r="G372" i="17"/>
  <c r="G134" i="17"/>
  <c r="G309" i="17"/>
  <c r="H115" i="17"/>
  <c r="G495" i="17"/>
  <c r="H444" i="17"/>
  <c r="H291" i="17"/>
  <c r="G466" i="17"/>
  <c r="G521" i="17"/>
  <c r="G165" i="17"/>
  <c r="G340" i="17"/>
  <c r="H582" i="17"/>
  <c r="G419" i="17"/>
  <c r="G163" i="17"/>
  <c r="G457" i="17"/>
  <c r="G276" i="17"/>
  <c r="H500" i="17"/>
  <c r="H552" i="17"/>
  <c r="H243" i="17"/>
  <c r="G373" i="17"/>
  <c r="B65" i="2"/>
  <c r="B222" i="2" l="1"/>
  <c r="U3" i="17" s="1"/>
  <c r="Q13" i="17"/>
  <c r="Q568" i="17"/>
  <c r="Q509" i="17"/>
  <c r="Q456" i="17"/>
  <c r="Q361" i="17"/>
  <c r="Q299" i="17"/>
  <c r="Q439" i="17"/>
  <c r="Q597" i="17"/>
  <c r="Q101" i="17"/>
  <c r="Q243" i="17"/>
  <c r="Q303" i="17"/>
  <c r="Q321" i="17"/>
  <c r="Q582" i="17"/>
  <c r="Q475" i="17"/>
  <c r="Q36" i="17"/>
  <c r="Q181" i="17"/>
  <c r="Q128" i="17"/>
  <c r="Q244" i="17"/>
  <c r="Q474" i="17"/>
  <c r="Q178" i="17"/>
  <c r="R626" i="17"/>
  <c r="R623" i="17"/>
  <c r="Q337" i="17"/>
  <c r="Q511" i="17"/>
  <c r="Q587" i="17"/>
  <c r="Q278" i="17"/>
  <c r="Q145" i="17"/>
  <c r="Q414" i="17"/>
  <c r="Q118" i="17"/>
  <c r="Q609" i="17"/>
  <c r="Q218" i="17"/>
  <c r="Q23" i="17"/>
  <c r="Q626" i="17"/>
  <c r="Q133" i="17"/>
  <c r="Q58" i="17"/>
  <c r="Q224" i="17"/>
  <c r="Q358" i="17"/>
  <c r="Q88" i="17"/>
  <c r="Q546" i="17"/>
  <c r="Q428" i="17"/>
  <c r="Q105" i="17"/>
  <c r="Q194" i="17"/>
  <c r="Q499" i="17"/>
  <c r="Q421" i="17"/>
  <c r="Q99" i="17"/>
  <c r="Q14" i="17"/>
  <c r="Q592" i="17"/>
  <c r="Q239" i="17"/>
  <c r="Q209" i="17"/>
  <c r="Q216" i="17"/>
  <c r="Q235" i="17"/>
  <c r="Q152" i="17"/>
  <c r="Q351" i="17"/>
  <c r="Q561" i="17"/>
  <c r="Q240" i="17"/>
  <c r="Q529" i="17"/>
  <c r="Q331" i="17"/>
  <c r="Q280" i="17"/>
  <c r="Q288" i="17"/>
  <c r="Q347" i="17"/>
  <c r="Q481" i="17"/>
  <c r="Q418" i="17"/>
  <c r="Q365" i="17"/>
  <c r="Q130" i="17"/>
  <c r="Q400" i="17"/>
  <c r="Q160" i="17"/>
  <c r="Q375" i="17"/>
  <c r="Q606" i="17"/>
  <c r="Q350" i="17"/>
  <c r="Q553" i="17"/>
  <c r="Q297" i="17"/>
  <c r="Q64" i="17"/>
  <c r="Q594" i="17"/>
  <c r="Q525" i="17"/>
  <c r="Q20" i="17"/>
  <c r="Q604" i="17"/>
  <c r="Q412" i="17"/>
  <c r="Q435" i="17"/>
  <c r="Q173" i="17"/>
  <c r="Q410" i="17"/>
  <c r="Q89" i="17"/>
  <c r="Q357" i="17"/>
  <c r="Q124" i="17"/>
  <c r="Q50" i="17"/>
  <c r="Q126" i="17"/>
  <c r="Q35" i="17"/>
  <c r="Q484" i="17"/>
  <c r="Q559" i="17"/>
  <c r="Q390" i="17"/>
  <c r="Q392" i="17"/>
  <c r="Q555" i="17"/>
  <c r="Q438" i="17"/>
  <c r="Q200" i="17"/>
  <c r="Q223" i="17"/>
  <c r="Q305" i="17"/>
  <c r="Q591" i="17"/>
  <c r="Q40" i="17"/>
  <c r="Q502" i="17"/>
  <c r="Q588" i="17"/>
  <c r="Q572" i="17"/>
  <c r="Q219" i="17"/>
  <c r="Q225" i="17"/>
  <c r="Q306" i="17"/>
  <c r="Q237" i="17"/>
  <c r="Q532" i="17"/>
  <c r="Q613" i="17"/>
  <c r="Q567" i="17"/>
  <c r="Q311" i="17"/>
  <c r="Q542" i="17"/>
  <c r="Q286" i="17"/>
  <c r="Q489" i="17"/>
  <c r="Q233" i="17"/>
  <c r="Q175" i="17"/>
  <c r="Q466" i="17"/>
  <c r="Q413" i="17"/>
  <c r="Q98" i="17"/>
  <c r="Q384" i="17"/>
  <c r="Q97" i="17"/>
  <c r="Q371" i="17"/>
  <c r="Q602" i="17"/>
  <c r="Q346" i="17"/>
  <c r="Q549" i="17"/>
  <c r="Q293" i="17"/>
  <c r="Q60" i="17"/>
  <c r="Q151" i="17"/>
  <c r="Q62" i="17"/>
  <c r="Q138" i="17"/>
  <c r="Q228" i="17"/>
  <c r="Q495" i="17"/>
  <c r="Q262" i="17"/>
  <c r="Q340" i="17"/>
  <c r="Q491" i="17"/>
  <c r="Q310" i="17"/>
  <c r="Q408" i="17"/>
  <c r="Q72" i="17"/>
  <c r="Q335" i="17"/>
  <c r="Q352" i="17"/>
  <c r="Q449" i="17"/>
  <c r="Q479" i="17"/>
  <c r="Q603" i="17"/>
  <c r="Q534" i="17"/>
  <c r="Q95" i="17"/>
  <c r="Q172" i="17"/>
  <c r="Q148" i="17"/>
  <c r="Q260" i="17"/>
  <c r="Q516" i="17"/>
  <c r="Q503" i="17"/>
  <c r="Q247" i="17"/>
  <c r="Q478" i="17"/>
  <c r="Q222" i="17"/>
  <c r="Q425" i="17"/>
  <c r="Q149" i="17"/>
  <c r="Q47" i="17"/>
  <c r="Q338" i="17"/>
  <c r="Q285" i="17"/>
  <c r="Q500" i="17"/>
  <c r="Q605" i="17"/>
  <c r="Q563" i="17"/>
  <c r="Q307" i="17"/>
  <c r="Q538" i="17"/>
  <c r="Q282" i="17"/>
  <c r="Q485" i="17"/>
  <c r="Q229" i="17"/>
  <c r="Q139" i="17"/>
  <c r="Q87" i="17"/>
  <c r="Q163" i="17"/>
  <c r="Q74" i="17"/>
  <c r="Q548" i="17"/>
  <c r="Q396" i="17"/>
  <c r="Q431" i="17"/>
  <c r="Q165" i="17"/>
  <c r="Q593" i="17"/>
  <c r="Q104" i="17"/>
  <c r="Q424" i="17"/>
  <c r="Q508" i="17"/>
  <c r="Q427" i="17"/>
  <c r="Q157" i="17"/>
  <c r="Q180" i="17"/>
  <c r="Q24" i="17"/>
  <c r="Q292" i="17"/>
  <c r="Q460" i="17"/>
  <c r="Q447" i="17"/>
  <c r="Q319" i="17"/>
  <c r="Q191" i="17"/>
  <c r="Q550" i="17"/>
  <c r="Q294" i="17"/>
  <c r="Q497" i="17"/>
  <c r="Q241" i="17"/>
  <c r="Q127" i="17"/>
  <c r="Q356" i="17"/>
  <c r="Q264" i="17"/>
  <c r="Q527" i="17"/>
  <c r="Q271" i="17"/>
  <c r="Q454" i="17"/>
  <c r="Q401" i="17"/>
  <c r="Q102" i="17"/>
  <c r="Q536" i="17"/>
  <c r="Q523" i="17"/>
  <c r="Q267" i="17"/>
  <c r="Q374" i="17"/>
  <c r="Q385" i="17"/>
  <c r="Q31" i="17"/>
  <c r="Q432" i="17"/>
  <c r="Q332" i="17"/>
  <c r="Q580" i="17"/>
  <c r="Q232" i="17"/>
  <c r="Q113" i="17"/>
  <c r="Q444" i="17"/>
  <c r="Q571" i="17"/>
  <c r="Q443" i="17"/>
  <c r="Q315" i="17"/>
  <c r="Q187" i="17"/>
  <c r="Q470" i="17"/>
  <c r="Q214" i="17"/>
  <c r="Q417" i="17"/>
  <c r="Q117" i="17"/>
  <c r="Q134" i="17"/>
  <c r="Q514" i="17"/>
  <c r="Q386" i="17"/>
  <c r="Q258" i="17"/>
  <c r="Q57" i="17"/>
  <c r="Q461" i="17"/>
  <c r="Q333" i="17"/>
  <c r="Q205" i="17"/>
  <c r="Q116" i="17"/>
  <c r="Q155" i="17"/>
  <c r="Q66" i="17"/>
  <c r="Q452" i="17"/>
  <c r="Q196" i="17"/>
  <c r="Q601" i="17"/>
  <c r="Q336" i="17"/>
  <c r="Q488" i="17"/>
  <c r="Q608" i="17"/>
  <c r="Q364" i="17"/>
  <c r="Q551" i="17"/>
  <c r="Q487" i="17"/>
  <c r="Q423" i="17"/>
  <c r="Q359" i="17"/>
  <c r="Q295" i="17"/>
  <c r="Q231" i="17"/>
  <c r="Q141" i="17"/>
  <c r="Q590" i="17"/>
  <c r="Q526" i="17"/>
  <c r="Q462" i="17"/>
  <c r="Q398" i="17"/>
  <c r="Q334" i="17"/>
  <c r="Q270" i="17"/>
  <c r="Q206" i="17"/>
  <c r="Q41" i="17"/>
  <c r="Q537" i="17"/>
  <c r="Q473" i="17"/>
  <c r="Q409" i="17"/>
  <c r="Q345" i="17"/>
  <c r="Q281" i="17"/>
  <c r="Q217" i="17"/>
  <c r="Q85" i="17"/>
  <c r="Q112" i="17"/>
  <c r="Q48" i="17"/>
  <c r="Q143" i="17"/>
  <c r="Q15" i="17"/>
  <c r="Q86" i="17"/>
  <c r="Q562" i="17"/>
  <c r="Q434" i="17"/>
  <c r="Q290" i="17"/>
  <c r="Q121" i="17"/>
  <c r="Q493" i="17"/>
  <c r="Q381" i="17"/>
  <c r="Q253" i="17"/>
  <c r="Q132" i="17"/>
  <c r="Q123" i="17"/>
  <c r="Q34" i="17"/>
  <c r="Q436" i="17"/>
  <c r="Q176" i="17"/>
  <c r="Q576" i="17"/>
  <c r="Q320" i="17"/>
  <c r="Q440" i="17"/>
  <c r="Q600" i="17"/>
  <c r="Q348" i="17"/>
  <c r="Q611" i="17"/>
  <c r="Q547" i="17"/>
  <c r="Q483" i="17"/>
  <c r="Q419" i="17"/>
  <c r="Q355" i="17"/>
  <c r="Q291" i="17"/>
  <c r="Q227" i="17"/>
  <c r="Q125" i="17"/>
  <c r="Q586" i="17"/>
  <c r="Q522" i="17"/>
  <c r="Q458" i="17"/>
  <c r="Q394" i="17"/>
  <c r="Q330" i="17"/>
  <c r="Q266" i="17"/>
  <c r="Q202" i="17"/>
  <c r="Q25" i="17"/>
  <c r="Q533" i="17"/>
  <c r="Q469" i="17"/>
  <c r="Q405" i="17"/>
  <c r="Q341" i="17"/>
  <c r="Q277" i="17"/>
  <c r="Q213" i="17"/>
  <c r="Q69" i="17"/>
  <c r="Q108" i="17"/>
  <c r="Q44" i="17"/>
  <c r="Q107" i="17"/>
  <c r="Q146" i="17"/>
  <c r="Q18" i="17"/>
  <c r="Q135" i="17"/>
  <c r="Q71" i="17"/>
  <c r="Q174" i="17"/>
  <c r="Q110" i="17"/>
  <c r="Q46" i="17"/>
  <c r="Q147" i="17"/>
  <c r="Q83" i="17"/>
  <c r="Q19" i="17"/>
  <c r="Q122" i="17"/>
  <c r="R18" i="17"/>
  <c r="R34" i="17"/>
  <c r="R50" i="17"/>
  <c r="R66" i="17"/>
  <c r="R82" i="17"/>
  <c r="R98" i="17"/>
  <c r="R114" i="17"/>
  <c r="R130" i="17"/>
  <c r="R146" i="17"/>
  <c r="R162" i="17"/>
  <c r="R178" i="17"/>
  <c r="R194" i="17"/>
  <c r="R210" i="17"/>
  <c r="R15" i="17"/>
  <c r="R31" i="17"/>
  <c r="R47" i="17"/>
  <c r="R63" i="17"/>
  <c r="R79" i="17"/>
  <c r="R95" i="17"/>
  <c r="R111" i="17"/>
  <c r="R127" i="17"/>
  <c r="R143" i="17"/>
  <c r="R159" i="17"/>
  <c r="R175" i="17"/>
  <c r="R191" i="17"/>
  <c r="R207" i="17"/>
  <c r="R223" i="17"/>
  <c r="R239" i="17"/>
  <c r="R255" i="17"/>
  <c r="R271" i="17"/>
  <c r="R287" i="17"/>
  <c r="R24" i="17"/>
  <c r="R40" i="17"/>
  <c r="R56" i="17"/>
  <c r="R72" i="17"/>
  <c r="R88" i="17"/>
  <c r="R104" i="17"/>
  <c r="R120" i="17"/>
  <c r="R136" i="17"/>
  <c r="R152" i="17"/>
  <c r="R168" i="17"/>
  <c r="R184" i="17"/>
  <c r="R200" i="17"/>
  <c r="R216" i="17"/>
  <c r="R232" i="17"/>
  <c r="R248" i="17"/>
  <c r="R264" i="17"/>
  <c r="R280" i="17"/>
  <c r="R65" i="17"/>
  <c r="R129" i="17"/>
  <c r="R193" i="17"/>
  <c r="R241" i="17"/>
  <c r="R273" i="17"/>
  <c r="R299" i="17"/>
  <c r="R315" i="17"/>
  <c r="R331" i="17"/>
  <c r="R347" i="17"/>
  <c r="R22" i="17"/>
  <c r="R38" i="17"/>
  <c r="R54" i="17"/>
  <c r="R70" i="17"/>
  <c r="R86" i="17"/>
  <c r="R102" i="17"/>
  <c r="R118" i="17"/>
  <c r="R134" i="17"/>
  <c r="R150" i="17"/>
  <c r="R166" i="17"/>
  <c r="R182" i="17"/>
  <c r="R198" i="17"/>
  <c r="R214" i="17"/>
  <c r="R19" i="17"/>
  <c r="R35" i="17"/>
  <c r="R51" i="17"/>
  <c r="R67" i="17"/>
  <c r="R83" i="17"/>
  <c r="R99" i="17"/>
  <c r="R115" i="17"/>
  <c r="R131" i="17"/>
  <c r="R147" i="17"/>
  <c r="R163" i="17"/>
  <c r="R179" i="17"/>
  <c r="R195" i="17"/>
  <c r="R211" i="17"/>
  <c r="R227" i="17"/>
  <c r="R243" i="17"/>
  <c r="R259" i="17"/>
  <c r="R275" i="17"/>
  <c r="R291" i="17"/>
  <c r="R28" i="17"/>
  <c r="R44" i="17"/>
  <c r="R60" i="17"/>
  <c r="R76" i="17"/>
  <c r="R92" i="17"/>
  <c r="R108" i="17"/>
  <c r="R124" i="17"/>
  <c r="R140" i="17"/>
  <c r="R156" i="17"/>
  <c r="R172" i="17"/>
  <c r="R188" i="17"/>
  <c r="R204" i="17"/>
  <c r="R220" i="17"/>
  <c r="R236" i="17"/>
  <c r="R252" i="17"/>
  <c r="R268" i="17"/>
  <c r="R284" i="17"/>
  <c r="R17" i="17"/>
  <c r="R81" i="17"/>
  <c r="R145" i="17"/>
  <c r="R209" i="17"/>
  <c r="R249" i="17"/>
  <c r="R281" i="17"/>
  <c r="R303" i="17"/>
  <c r="R319" i="17"/>
  <c r="R335" i="17"/>
  <c r="R351" i="17"/>
  <c r="R367" i="17"/>
  <c r="R383" i="17"/>
  <c r="R399" i="17"/>
  <c r="R415" i="17"/>
  <c r="R431" i="17"/>
  <c r="R447" i="17"/>
  <c r="R463" i="17"/>
  <c r="R479" i="17"/>
  <c r="R495" i="17"/>
  <c r="R511" i="17"/>
  <c r="R527" i="17"/>
  <c r="R543" i="17"/>
  <c r="R559" i="17"/>
  <c r="R575" i="17"/>
  <c r="R26" i="17"/>
  <c r="R58" i="17"/>
  <c r="R90" i="17"/>
  <c r="R122" i="17"/>
  <c r="R154" i="17"/>
  <c r="R186" i="17"/>
  <c r="R218" i="17"/>
  <c r="R23" i="17"/>
  <c r="R55" i="17"/>
  <c r="R87" i="17"/>
  <c r="R119" i="17"/>
  <c r="R151" i="17"/>
  <c r="R183" i="17"/>
  <c r="R215" i="17"/>
  <c r="R247" i="17"/>
  <c r="R279" i="17"/>
  <c r="R16" i="17"/>
  <c r="R48" i="17"/>
  <c r="R80" i="17"/>
  <c r="R112" i="17"/>
  <c r="R144" i="17"/>
  <c r="R176" i="17"/>
  <c r="R208" i="17"/>
  <c r="R240" i="17"/>
  <c r="R272" i="17"/>
  <c r="R33" i="17"/>
  <c r="R161" i="17"/>
  <c r="R257" i="17"/>
  <c r="R307" i="17"/>
  <c r="R339" i="17"/>
  <c r="R363" i="17"/>
  <c r="R387" i="17"/>
  <c r="R407" i="17"/>
  <c r="R427" i="17"/>
  <c r="R451" i="17"/>
  <c r="R471" i="17"/>
  <c r="R491" i="17"/>
  <c r="R515" i="17"/>
  <c r="R535" i="17"/>
  <c r="R555" i="17"/>
  <c r="R579" i="17"/>
  <c r="R595" i="17"/>
  <c r="R611" i="17"/>
  <c r="R69" i="17"/>
  <c r="R133" i="17"/>
  <c r="R197" i="17"/>
  <c r="R242" i="17"/>
  <c r="R274" i="17"/>
  <c r="R300" i="17"/>
  <c r="R316" i="17"/>
  <c r="R332" i="17"/>
  <c r="R348" i="17"/>
  <c r="R364" i="17"/>
  <c r="R380" i="17"/>
  <c r="R396" i="17"/>
  <c r="R412" i="17"/>
  <c r="R428" i="17"/>
  <c r="R444" i="17"/>
  <c r="R460" i="17"/>
  <c r="R476" i="17"/>
  <c r="R492" i="17"/>
  <c r="R508" i="17"/>
  <c r="R524" i="17"/>
  <c r="R540" i="17"/>
  <c r="R556" i="17"/>
  <c r="R572" i="17"/>
  <c r="R588" i="17"/>
  <c r="R604" i="17"/>
  <c r="R41" i="17"/>
  <c r="R105" i="17"/>
  <c r="R169" i="17"/>
  <c r="R229" i="17"/>
  <c r="R261" i="17"/>
  <c r="R293" i="17"/>
  <c r="R309" i="17"/>
  <c r="R325" i="17"/>
  <c r="R341" i="17"/>
  <c r="R357" i="17"/>
  <c r="R373" i="17"/>
  <c r="R389" i="17"/>
  <c r="R405" i="17"/>
  <c r="R421" i="17"/>
  <c r="R437" i="17"/>
  <c r="R453" i="17"/>
  <c r="R469" i="17"/>
  <c r="R485" i="17"/>
  <c r="R501" i="17"/>
  <c r="R517" i="17"/>
  <c r="R30" i="17"/>
  <c r="R62" i="17"/>
  <c r="R94" i="17"/>
  <c r="R126" i="17"/>
  <c r="R158" i="17"/>
  <c r="R190" i="17"/>
  <c r="R222" i="17"/>
  <c r="R27" i="17"/>
  <c r="R59" i="17"/>
  <c r="R91" i="17"/>
  <c r="R123" i="17"/>
  <c r="R155" i="17"/>
  <c r="R187" i="17"/>
  <c r="R219" i="17"/>
  <c r="R251" i="17"/>
  <c r="R283" i="17"/>
  <c r="R20" i="17"/>
  <c r="R52" i="17"/>
  <c r="R84" i="17"/>
  <c r="R116" i="17"/>
  <c r="R148" i="17"/>
  <c r="R180" i="17"/>
  <c r="R212" i="17"/>
  <c r="R244" i="17"/>
  <c r="R276" i="17"/>
  <c r="R49" i="17"/>
  <c r="R177" i="17"/>
  <c r="R265" i="17"/>
  <c r="R311" i="17"/>
  <c r="R343" i="17"/>
  <c r="R371" i="17"/>
  <c r="R391" i="17"/>
  <c r="R411" i="17"/>
  <c r="R435" i="17"/>
  <c r="R455" i="17"/>
  <c r="R475" i="17"/>
  <c r="R499" i="17"/>
  <c r="R519" i="17"/>
  <c r="R539" i="17"/>
  <c r="R563" i="17"/>
  <c r="R583" i="17"/>
  <c r="R599" i="17"/>
  <c r="R13" i="17"/>
  <c r="R21" i="17"/>
  <c r="R85" i="17"/>
  <c r="R149" i="17"/>
  <c r="R213" i="17"/>
  <c r="R250" i="17"/>
  <c r="R282" i="17"/>
  <c r="R304" i="17"/>
  <c r="R320" i="17"/>
  <c r="R336" i="17"/>
  <c r="R352" i="17"/>
  <c r="R368" i="17"/>
  <c r="R384" i="17"/>
  <c r="R400" i="17"/>
  <c r="R416" i="17"/>
  <c r="R432" i="17"/>
  <c r="R448" i="17"/>
  <c r="R464" i="17"/>
  <c r="R480" i="17"/>
  <c r="R496" i="17"/>
  <c r="R512" i="17"/>
  <c r="R528" i="17"/>
  <c r="R544" i="17"/>
  <c r="R560" i="17"/>
  <c r="R576" i="17"/>
  <c r="R592" i="17"/>
  <c r="R608" i="17"/>
  <c r="R57" i="17"/>
  <c r="R121" i="17"/>
  <c r="R185" i="17"/>
  <c r="R237" i="17"/>
  <c r="R269" i="17"/>
  <c r="R297" i="17"/>
  <c r="R313" i="17"/>
  <c r="R329" i="17"/>
  <c r="R345" i="17"/>
  <c r="R361" i="17"/>
  <c r="R377" i="17"/>
  <c r="R393" i="17"/>
  <c r="R409" i="17"/>
  <c r="R425" i="17"/>
  <c r="R441" i="17"/>
  <c r="R457" i="17"/>
  <c r="R473" i="17"/>
  <c r="R489" i="17"/>
  <c r="R505" i="17"/>
  <c r="R521" i="17"/>
  <c r="R74" i="17"/>
  <c r="R138" i="17"/>
  <c r="R202" i="17"/>
  <c r="R39" i="17"/>
  <c r="R103" i="17"/>
  <c r="R167" i="17"/>
  <c r="R231" i="17"/>
  <c r="R64" i="17"/>
  <c r="R128" i="17"/>
  <c r="R192" i="17"/>
  <c r="R256" i="17"/>
  <c r="R225" i="17"/>
  <c r="R323" i="17"/>
  <c r="R375" i="17"/>
  <c r="R419" i="17"/>
  <c r="R459" i="17"/>
  <c r="R503" i="17"/>
  <c r="R547" i="17"/>
  <c r="R587" i="17"/>
  <c r="R101" i="17"/>
  <c r="R226" i="17"/>
  <c r="R290" i="17"/>
  <c r="R324" i="17"/>
  <c r="R356" i="17"/>
  <c r="R388" i="17"/>
  <c r="R420" i="17"/>
  <c r="R452" i="17"/>
  <c r="R484" i="17"/>
  <c r="R516" i="17"/>
  <c r="R548" i="17"/>
  <c r="R580" i="17"/>
  <c r="R612" i="17"/>
  <c r="R73" i="17"/>
  <c r="R201" i="17"/>
  <c r="R277" i="17"/>
  <c r="R317" i="17"/>
  <c r="R349" i="17"/>
  <c r="R381" i="17"/>
  <c r="R413" i="17"/>
  <c r="R445" i="17"/>
  <c r="R477" i="17"/>
  <c r="R509" i="17"/>
  <c r="R533" i="17"/>
  <c r="R549" i="17"/>
  <c r="R565" i="17"/>
  <c r="R581" i="17"/>
  <c r="R597" i="17"/>
  <c r="R613" i="17"/>
  <c r="R77" i="17"/>
  <c r="R278" i="17"/>
  <c r="R350" i="17"/>
  <c r="R414" i="17"/>
  <c r="R478" i="17"/>
  <c r="R542" i="17"/>
  <c r="R606" i="17"/>
  <c r="R157" i="17"/>
  <c r="R306" i="17"/>
  <c r="R370" i="17"/>
  <c r="R434" i="17"/>
  <c r="R498" i="17"/>
  <c r="R562" i="17"/>
  <c r="R189" i="17"/>
  <c r="R394" i="17"/>
  <c r="R522" i="17"/>
  <c r="R45" i="17"/>
  <c r="R262" i="17"/>
  <c r="R342" i="17"/>
  <c r="R406" i="17"/>
  <c r="R470" i="17"/>
  <c r="R534" i="17"/>
  <c r="R598" i="17"/>
  <c r="R314" i="17"/>
  <c r="R442" i="17"/>
  <c r="R570" i="17"/>
  <c r="R106" i="17"/>
  <c r="R170" i="17"/>
  <c r="R71" i="17"/>
  <c r="R263" i="17"/>
  <c r="R96" i="17"/>
  <c r="R224" i="17"/>
  <c r="R288" i="17"/>
  <c r="R97" i="17"/>
  <c r="R289" i="17"/>
  <c r="R395" i="17"/>
  <c r="R483" i="17"/>
  <c r="R567" i="17"/>
  <c r="R37" i="17"/>
  <c r="R258" i="17"/>
  <c r="R340" i="17"/>
  <c r="R404" i="17"/>
  <c r="R468" i="17"/>
  <c r="R532" i="17"/>
  <c r="R596" i="17"/>
  <c r="R137" i="17"/>
  <c r="R301" i="17"/>
  <c r="R365" i="17"/>
  <c r="R429" i="17"/>
  <c r="R493" i="17"/>
  <c r="R541" i="17"/>
  <c r="R589" i="17"/>
  <c r="R205" i="17"/>
  <c r="R382" i="17"/>
  <c r="R446" i="17"/>
  <c r="R574" i="17"/>
  <c r="R29" i="17"/>
  <c r="R338" i="17"/>
  <c r="R466" i="17"/>
  <c r="R594" i="17"/>
  <c r="R458" i="17"/>
  <c r="R78" i="17"/>
  <c r="R142" i="17"/>
  <c r="R206" i="17"/>
  <c r="R43" i="17"/>
  <c r="R107" i="17"/>
  <c r="R171" i="17"/>
  <c r="R235" i="17"/>
  <c r="R68" i="17"/>
  <c r="R132" i="17"/>
  <c r="R196" i="17"/>
  <c r="R260" i="17"/>
  <c r="R233" i="17"/>
  <c r="R327" i="17"/>
  <c r="R379" i="17"/>
  <c r="R423" i="17"/>
  <c r="R467" i="17"/>
  <c r="R507" i="17"/>
  <c r="R551" i="17"/>
  <c r="R591" i="17"/>
  <c r="R117" i="17"/>
  <c r="R234" i="17"/>
  <c r="R296" i="17"/>
  <c r="R328" i="17"/>
  <c r="R360" i="17"/>
  <c r="R392" i="17"/>
  <c r="R424" i="17"/>
  <c r="R456" i="17"/>
  <c r="R488" i="17"/>
  <c r="R520" i="17"/>
  <c r="R552" i="17"/>
  <c r="R584" i="17"/>
  <c r="R89" i="17"/>
  <c r="R217" i="17"/>
  <c r="R285" i="17"/>
  <c r="R321" i="17"/>
  <c r="R353" i="17"/>
  <c r="R385" i="17"/>
  <c r="R417" i="17"/>
  <c r="R449" i="17"/>
  <c r="R481" i="17"/>
  <c r="R513" i="17"/>
  <c r="R537" i="17"/>
  <c r="R553" i="17"/>
  <c r="R569" i="17"/>
  <c r="R585" i="17"/>
  <c r="R601" i="17"/>
  <c r="R141" i="17"/>
  <c r="R302" i="17"/>
  <c r="R366" i="17"/>
  <c r="R430" i="17"/>
  <c r="R494" i="17"/>
  <c r="R558" i="17"/>
  <c r="R221" i="17"/>
  <c r="R322" i="17"/>
  <c r="R386" i="17"/>
  <c r="R450" i="17"/>
  <c r="R514" i="17"/>
  <c r="R578" i="17"/>
  <c r="R298" i="17"/>
  <c r="R426" i="17"/>
  <c r="R554" i="17"/>
  <c r="R109" i="17"/>
  <c r="R294" i="17"/>
  <c r="R358" i="17"/>
  <c r="R422" i="17"/>
  <c r="R486" i="17"/>
  <c r="R550" i="17"/>
  <c r="R14" i="17"/>
  <c r="R125" i="17"/>
  <c r="R346" i="17"/>
  <c r="R474" i="17"/>
  <c r="R602" i="17"/>
  <c r="R42" i="17"/>
  <c r="R135" i="17"/>
  <c r="R199" i="17"/>
  <c r="R32" i="17"/>
  <c r="R160" i="17"/>
  <c r="R355" i="17"/>
  <c r="R439" i="17"/>
  <c r="R523" i="17"/>
  <c r="R603" i="17"/>
  <c r="R165" i="17"/>
  <c r="R308" i="17"/>
  <c r="R372" i="17"/>
  <c r="R436" i="17"/>
  <c r="R500" i="17"/>
  <c r="R564" i="17"/>
  <c r="R245" i="17"/>
  <c r="R333" i="17"/>
  <c r="R397" i="17"/>
  <c r="R461" i="17"/>
  <c r="R525" i="17"/>
  <c r="R557" i="17"/>
  <c r="R573" i="17"/>
  <c r="R605" i="17"/>
  <c r="R318" i="17"/>
  <c r="R510" i="17"/>
  <c r="R254" i="17"/>
  <c r="R402" i="17"/>
  <c r="R530" i="17"/>
  <c r="R330" i="17"/>
  <c r="R586" i="17"/>
  <c r="R174" i="17"/>
  <c r="R75" i="17"/>
  <c r="R164" i="17"/>
  <c r="R113" i="17"/>
  <c r="R443" i="17"/>
  <c r="R607" i="17"/>
  <c r="R312" i="17"/>
  <c r="R440" i="17"/>
  <c r="R568" i="17"/>
  <c r="R253" i="17"/>
  <c r="R401" i="17"/>
  <c r="R529" i="17"/>
  <c r="R593" i="17"/>
  <c r="R462" i="17"/>
  <c r="R418" i="17"/>
  <c r="R490" i="17"/>
  <c r="R310" i="17"/>
  <c r="R438" i="17"/>
  <c r="R566" i="17"/>
  <c r="R238" i="17"/>
  <c r="R506" i="17"/>
  <c r="R538" i="17"/>
  <c r="R46" i="17"/>
  <c r="R292" i="17"/>
  <c r="R531" i="17"/>
  <c r="R376" i="17"/>
  <c r="R25" i="17"/>
  <c r="R561" i="17"/>
  <c r="R334" i="17"/>
  <c r="R546" i="17"/>
  <c r="R61" i="17"/>
  <c r="R173" i="17"/>
  <c r="R502" i="17"/>
  <c r="R378" i="17"/>
  <c r="R110" i="17"/>
  <c r="R267" i="17"/>
  <c r="R100" i="17"/>
  <c r="R403" i="17"/>
  <c r="R266" i="17"/>
  <c r="R536" i="17"/>
  <c r="R369" i="17"/>
  <c r="R497" i="17"/>
  <c r="R354" i="17"/>
  <c r="R390" i="17"/>
  <c r="R410" i="17"/>
  <c r="R139" i="17"/>
  <c r="R228" i="17"/>
  <c r="R295" i="17"/>
  <c r="R487" i="17"/>
  <c r="R53" i="17"/>
  <c r="R344" i="17"/>
  <c r="R472" i="17"/>
  <c r="R600" i="17"/>
  <c r="R305" i="17"/>
  <c r="R433" i="17"/>
  <c r="R545" i="17"/>
  <c r="R609" i="17"/>
  <c r="R246" i="17"/>
  <c r="R526" i="17"/>
  <c r="R93" i="17"/>
  <c r="R482" i="17"/>
  <c r="R326" i="17"/>
  <c r="R454" i="17"/>
  <c r="R582" i="17"/>
  <c r="R270" i="17"/>
  <c r="R203" i="17"/>
  <c r="R36" i="17"/>
  <c r="R359" i="17"/>
  <c r="R181" i="17"/>
  <c r="R504" i="17"/>
  <c r="R337" i="17"/>
  <c r="R465" i="17"/>
  <c r="R590" i="17"/>
  <c r="R286" i="17"/>
  <c r="R374" i="17"/>
  <c r="R571" i="17"/>
  <c r="R408" i="17"/>
  <c r="R153" i="17"/>
  <c r="R577" i="17"/>
  <c r="R398" i="17"/>
  <c r="R610" i="17"/>
  <c r="R362" i="17"/>
  <c r="R230" i="17"/>
  <c r="R518" i="17"/>
  <c r="Q368" i="17"/>
  <c r="Q65" i="17"/>
  <c r="Q367" i="17"/>
  <c r="Q518" i="17"/>
  <c r="Q465" i="17"/>
  <c r="Q63" i="17"/>
  <c r="Q480" i="17"/>
  <c r="Q252" i="17"/>
  <c r="Q363" i="17"/>
  <c r="Q566" i="17"/>
  <c r="Q513" i="17"/>
  <c r="Q159" i="17"/>
  <c r="Q560" i="17"/>
  <c r="Q204" i="17"/>
  <c r="Q415" i="17"/>
  <c r="Q287" i="17"/>
  <c r="Q109" i="17"/>
  <c r="Q486" i="17"/>
  <c r="Q230" i="17"/>
  <c r="Q433" i="17"/>
  <c r="Q169" i="17"/>
  <c r="Q166" i="17"/>
  <c r="Q472" i="17"/>
  <c r="Q524" i="17"/>
  <c r="Q463" i="17"/>
  <c r="Q207" i="17"/>
  <c r="Q326" i="17"/>
  <c r="Q273" i="17"/>
  <c r="Q468" i="17"/>
  <c r="Q380" i="17"/>
  <c r="Q459" i="17"/>
  <c r="Q203" i="17"/>
  <c r="Q246" i="17"/>
  <c r="Q257" i="17"/>
  <c r="Q420" i="17"/>
  <c r="Q168" i="17"/>
  <c r="Q607" i="17"/>
  <c r="Q404" i="17"/>
  <c r="Q544" i="17"/>
  <c r="Q360" i="17"/>
  <c r="Q316" i="17"/>
  <c r="Q539" i="17"/>
  <c r="Q411" i="17"/>
  <c r="Q283" i="17"/>
  <c r="Q93" i="17"/>
  <c r="Q406" i="17"/>
  <c r="Q73" i="17"/>
  <c r="Q353" i="17"/>
  <c r="Q120" i="17"/>
  <c r="Q610" i="17"/>
  <c r="Q482" i="17"/>
  <c r="Q354" i="17"/>
  <c r="Q242" i="17"/>
  <c r="Q573" i="17"/>
  <c r="Q429" i="17"/>
  <c r="Q301" i="17"/>
  <c r="Q161" i="17"/>
  <c r="Q84" i="17"/>
  <c r="Q91" i="17"/>
  <c r="Q584" i="17"/>
  <c r="Q388" i="17"/>
  <c r="Q552" i="17"/>
  <c r="Q528" i="17"/>
  <c r="Q272" i="17"/>
  <c r="Q344" i="17"/>
  <c r="Q556" i="17"/>
  <c r="Q300" i="17"/>
  <c r="Q599" i="17"/>
  <c r="Q535" i="17"/>
  <c r="Q471" i="17"/>
  <c r="Q407" i="17"/>
  <c r="Q343" i="17"/>
  <c r="Q279" i="17"/>
  <c r="Q215" i="17"/>
  <c r="Q77" i="17"/>
  <c r="Q574" i="17"/>
  <c r="Q510" i="17"/>
  <c r="Q446" i="17"/>
  <c r="Q382" i="17"/>
  <c r="Q318" i="17"/>
  <c r="Q254" i="17"/>
  <c r="Q190" i="17"/>
  <c r="Q585" i="17"/>
  <c r="Q521" i="17"/>
  <c r="Q457" i="17"/>
  <c r="Q393" i="17"/>
  <c r="Q329" i="17"/>
  <c r="Q265" i="17"/>
  <c r="Q201" i="17"/>
  <c r="Q21" i="17"/>
  <c r="Q96" i="17"/>
  <c r="Q32" i="17"/>
  <c r="Q111" i="17"/>
  <c r="Q182" i="17"/>
  <c r="Q54" i="17"/>
  <c r="Q530" i="17"/>
  <c r="Q402" i="17"/>
  <c r="Q274" i="17"/>
  <c r="Q589" i="17"/>
  <c r="Q477" i="17"/>
  <c r="Q349" i="17"/>
  <c r="Q221" i="17"/>
  <c r="Q100" i="17"/>
  <c r="Q59" i="17"/>
  <c r="Q520" i="17"/>
  <c r="Q372" i="17"/>
  <c r="Q504" i="17"/>
  <c r="Q512" i="17"/>
  <c r="Q256" i="17"/>
  <c r="Q296" i="17"/>
  <c r="Q540" i="17"/>
  <c r="Q284" i="17"/>
  <c r="Q595" i="17"/>
  <c r="Q531" i="17"/>
  <c r="Q467" i="17"/>
  <c r="Q403" i="17"/>
  <c r="Q339" i="17"/>
  <c r="Q275" i="17"/>
  <c r="Q211" i="17"/>
  <c r="Q61" i="17"/>
  <c r="Q570" i="17"/>
  <c r="Q506" i="17"/>
  <c r="Q442" i="17"/>
  <c r="Q378" i="17"/>
  <c r="Q314" i="17"/>
  <c r="Q250" i="17"/>
  <c r="Q186" i="17"/>
  <c r="Q581" i="17"/>
  <c r="Q517" i="17"/>
  <c r="Q453" i="17"/>
  <c r="Q389" i="17"/>
  <c r="Q325" i="17"/>
  <c r="Q261" i="17"/>
  <c r="Q197" i="17"/>
  <c r="Q156" i="17"/>
  <c r="Q92" i="17"/>
  <c r="Q28" i="17"/>
  <c r="Q75" i="17"/>
  <c r="Q114" i="17"/>
  <c r="Q183" i="17"/>
  <c r="Q119" i="17"/>
  <c r="Q55" i="17"/>
  <c r="Q158" i="17"/>
  <c r="Q94" i="17"/>
  <c r="Q30" i="17"/>
  <c r="Q131" i="17"/>
  <c r="Q67" i="17"/>
  <c r="Q170" i="17"/>
  <c r="Q106" i="17"/>
  <c r="Q42" i="17"/>
  <c r="Q70" i="17"/>
  <c r="Q304" i="17"/>
  <c r="Q575" i="17"/>
  <c r="Q383" i="17"/>
  <c r="Q255" i="17"/>
  <c r="Q17" i="17"/>
  <c r="Q422" i="17"/>
  <c r="Q137" i="17"/>
  <c r="Q369" i="17"/>
  <c r="Q136" i="17"/>
  <c r="Q38" i="17"/>
  <c r="Q496" i="17"/>
  <c r="Q268" i="17"/>
  <c r="Q399" i="17"/>
  <c r="Q45" i="17"/>
  <c r="Q198" i="17"/>
  <c r="Q53" i="17"/>
  <c r="Q212" i="17"/>
  <c r="Q33" i="17"/>
  <c r="Q395" i="17"/>
  <c r="Q29" i="17"/>
  <c r="Q577" i="17"/>
  <c r="Q193" i="17"/>
  <c r="Q129" i="17"/>
  <c r="Q596" i="17"/>
  <c r="Q543" i="17"/>
  <c r="Q276" i="17"/>
  <c r="Q416" i="17"/>
  <c r="Q564" i="17"/>
  <c r="Q188" i="17"/>
  <c r="Q507" i="17"/>
  <c r="Q379" i="17"/>
  <c r="Q251" i="17"/>
  <c r="Q598" i="17"/>
  <c r="Q342" i="17"/>
  <c r="Q545" i="17"/>
  <c r="Q289" i="17"/>
  <c r="Q56" i="17"/>
  <c r="Q578" i="17"/>
  <c r="Q450" i="17"/>
  <c r="Q322" i="17"/>
  <c r="Q210" i="17"/>
  <c r="Q541" i="17"/>
  <c r="Q397" i="17"/>
  <c r="Q269" i="17"/>
  <c r="Q37" i="17"/>
  <c r="Q52" i="17"/>
  <c r="Q27" i="17"/>
  <c r="Q312" i="17"/>
  <c r="Q324" i="17"/>
  <c r="Q376" i="17"/>
  <c r="Q464" i="17"/>
  <c r="Q208" i="17"/>
  <c r="Q184" i="17"/>
  <c r="Q492" i="17"/>
  <c r="Q236" i="17"/>
  <c r="Q583" i="17"/>
  <c r="Q519" i="17"/>
  <c r="Q455" i="17"/>
  <c r="Q391" i="17"/>
  <c r="Q327" i="17"/>
  <c r="Q263" i="17"/>
  <c r="Q199" i="17"/>
  <c r="Q81" i="17"/>
  <c r="Q558" i="17"/>
  <c r="Q494" i="17"/>
  <c r="Q430" i="17"/>
  <c r="Q366" i="17"/>
  <c r="Q302" i="17"/>
  <c r="Q238" i="17"/>
  <c r="Q164" i="17"/>
  <c r="Q569" i="17"/>
  <c r="Q505" i="17"/>
  <c r="Q441" i="17"/>
  <c r="Q377" i="17"/>
  <c r="Q313" i="17"/>
  <c r="Q249" i="17"/>
  <c r="Q185" i="17"/>
  <c r="Q144" i="17"/>
  <c r="Q80" i="17"/>
  <c r="Q16" i="17"/>
  <c r="Q79" i="17"/>
  <c r="Q150" i="17"/>
  <c r="Q22" i="17"/>
  <c r="Q498" i="17"/>
  <c r="Q370" i="17"/>
  <c r="Q226" i="17"/>
  <c r="Q557" i="17"/>
  <c r="Q445" i="17"/>
  <c r="Q317" i="17"/>
  <c r="Q189" i="17"/>
  <c r="Q68" i="17"/>
  <c r="Q162" i="17"/>
  <c r="Q248" i="17"/>
  <c r="Q308" i="17"/>
  <c r="Q328" i="17"/>
  <c r="Q448" i="17"/>
  <c r="Q192" i="17"/>
  <c r="Q612" i="17"/>
  <c r="Q476" i="17"/>
  <c r="Q220" i="17"/>
  <c r="Q579" i="17"/>
  <c r="Q515" i="17"/>
  <c r="Q451" i="17"/>
  <c r="Q387" i="17"/>
  <c r="Q323" i="17"/>
  <c r="Q259" i="17"/>
  <c r="Q195" i="17"/>
  <c r="Q49" i="17"/>
  <c r="Q554" i="17"/>
  <c r="Q490" i="17"/>
  <c r="Q426" i="17"/>
  <c r="Q362" i="17"/>
  <c r="Q298" i="17"/>
  <c r="Q234" i="17"/>
  <c r="Q153" i="17"/>
  <c r="Q565" i="17"/>
  <c r="Q501" i="17"/>
  <c r="Q437" i="17"/>
  <c r="Q373" i="17"/>
  <c r="Q309" i="17"/>
  <c r="Q245" i="17"/>
  <c r="Q177" i="17"/>
  <c r="Q140" i="17"/>
  <c r="Q76" i="17"/>
  <c r="Q171" i="17"/>
  <c r="Q43" i="17"/>
  <c r="Q82" i="17"/>
  <c r="Q167" i="17"/>
  <c r="Q103" i="17"/>
  <c r="Q39" i="17"/>
  <c r="Q142" i="17"/>
  <c r="Q78" i="17"/>
  <c r="Q179" i="17"/>
  <c r="Q115" i="17"/>
  <c r="Q51" i="17"/>
  <c r="Q154" i="17"/>
  <c r="Q90" i="17"/>
  <c r="Q26" i="17"/>
  <c r="E47" i="1"/>
  <c r="B282" i="2"/>
  <c r="E43" i="1"/>
  <c r="B114" i="2"/>
  <c r="E39" i="1" s="1"/>
  <c r="U82" i="21"/>
  <c r="AK97" i="21"/>
  <c r="BD97" i="21" s="1"/>
  <c r="AX97" i="21" s="1"/>
  <c r="U11" i="21"/>
  <c r="AK83" i="21"/>
  <c r="BD83" i="21" s="1"/>
  <c r="AX83" i="21" s="1"/>
  <c r="U22" i="21"/>
  <c r="AK35" i="21"/>
  <c r="BD35" i="21" s="1"/>
  <c r="AX35" i="21" s="1"/>
  <c r="AK47" i="21"/>
  <c r="BD47" i="21" s="1"/>
  <c r="AX47" i="21" s="1"/>
  <c r="AI67" i="21"/>
  <c r="AK67" i="21" s="1"/>
  <c r="BD67" i="21" s="1"/>
  <c r="AX67" i="21" s="1"/>
  <c r="AK81" i="21"/>
  <c r="BD81" i="21" s="1"/>
  <c r="AX81" i="21" s="1"/>
  <c r="AK82" i="21"/>
  <c r="BD82" i="21" s="1"/>
  <c r="AX82" i="21" s="1"/>
  <c r="AK106" i="21"/>
  <c r="BD106" i="21" s="1"/>
  <c r="AX106" i="21" s="1"/>
  <c r="AT58" i="21"/>
  <c r="AK105" i="21"/>
  <c r="BD105" i="21" s="1"/>
  <c r="AX105" i="21" s="1"/>
  <c r="AK109" i="21"/>
  <c r="BD109" i="21" s="1"/>
  <c r="AX109" i="21" s="1"/>
  <c r="AK93" i="21"/>
  <c r="BD93" i="21" s="1"/>
  <c r="AX93" i="21" s="1"/>
  <c r="AK45" i="21"/>
  <c r="BD45" i="21" s="1"/>
  <c r="AX45" i="21" s="1"/>
  <c r="AK90" i="21"/>
  <c r="BD90" i="21" s="1"/>
  <c r="AX90" i="21" s="1"/>
  <c r="AK101" i="21"/>
  <c r="BD101" i="21" s="1"/>
  <c r="AX101" i="21" s="1"/>
  <c r="AK43" i="21"/>
  <c r="BD43" i="21" s="1"/>
  <c r="AX43" i="21" s="1"/>
  <c r="AK62" i="21"/>
  <c r="BD62" i="21" s="1"/>
  <c r="AX62" i="21" s="1"/>
  <c r="U68" i="21"/>
  <c r="AT74" i="21"/>
  <c r="AT66" i="21"/>
  <c r="U9" i="21"/>
  <c r="U89" i="21"/>
  <c r="U14" i="21"/>
  <c r="U63" i="21"/>
  <c r="AT70" i="21"/>
  <c r="AK89" i="21"/>
  <c r="BD89" i="21" s="1"/>
  <c r="AX89" i="21" s="1"/>
  <c r="U72" i="21"/>
  <c r="U53" i="21"/>
  <c r="AK63" i="21"/>
  <c r="BD63" i="21" s="1"/>
  <c r="AX63" i="21" s="1"/>
  <c r="U44" i="21"/>
  <c r="AK56" i="21"/>
  <c r="BD56" i="21" s="1"/>
  <c r="AX56" i="21" s="1"/>
  <c r="U59" i="21"/>
  <c r="AK99" i="21"/>
  <c r="BD99" i="21" s="1"/>
  <c r="AX99" i="21" s="1"/>
  <c r="U102" i="21"/>
  <c r="AI59" i="21"/>
  <c r="AK59" i="21" s="1"/>
  <c r="BD59" i="21" s="1"/>
  <c r="AX59" i="21" s="1"/>
  <c r="AK55" i="21"/>
  <c r="BD55" i="21" s="1"/>
  <c r="AX55" i="21" s="1"/>
  <c r="AK76" i="21"/>
  <c r="BD76" i="21" s="1"/>
  <c r="AX76" i="21" s="1"/>
  <c r="AI9" i="21"/>
  <c r="AK9" i="21" s="1"/>
  <c r="BD9" i="21" s="1"/>
  <c r="AX9" i="21" s="1"/>
  <c r="BE9" i="21"/>
  <c r="AI14" i="21"/>
  <c r="AK14" i="21" s="1"/>
  <c r="BD14" i="21" s="1"/>
  <c r="AX14" i="21" s="1"/>
  <c r="U62" i="21"/>
  <c r="U93" i="21"/>
  <c r="U76" i="21"/>
  <c r="U24" i="21"/>
  <c r="AK42" i="21"/>
  <c r="BD42" i="21" s="1"/>
  <c r="AX42" i="21" s="1"/>
  <c r="U97" i="21"/>
  <c r="U98" i="21"/>
  <c r="AK87" i="21"/>
  <c r="BD87" i="21" s="1"/>
  <c r="AX87" i="21" s="1"/>
  <c r="AK85" i="21"/>
  <c r="BD85" i="21" s="1"/>
  <c r="AX85" i="21" s="1"/>
  <c r="AK107" i="21"/>
  <c r="BD107" i="21" s="1"/>
  <c r="AX107" i="21" s="1"/>
  <c r="AK61" i="21"/>
  <c r="BD61" i="21" s="1"/>
  <c r="AX61" i="21" s="1"/>
  <c r="AK64" i="21"/>
  <c r="BD64" i="21" s="1"/>
  <c r="AX64" i="21" s="1"/>
  <c r="AK91" i="21"/>
  <c r="BD91" i="21" s="1"/>
  <c r="AX91" i="21" s="1"/>
  <c r="AK46" i="21"/>
  <c r="BD46" i="21" s="1"/>
  <c r="AX46" i="21" s="1"/>
  <c r="AK28" i="21"/>
  <c r="BD28" i="21" s="1"/>
  <c r="AX28" i="21" s="1"/>
  <c r="AK21" i="21"/>
  <c r="BD21" i="21" s="1"/>
  <c r="AX21" i="21" s="1"/>
  <c r="AK24" i="21"/>
  <c r="BD24" i="21" s="1"/>
  <c r="AX24" i="21" s="1"/>
  <c r="AK32" i="21"/>
  <c r="BD32" i="21" s="1"/>
  <c r="AX32" i="21" s="1"/>
  <c r="AK12" i="21"/>
  <c r="BD12" i="21" s="1"/>
  <c r="AX12" i="21" s="1"/>
  <c r="AK16" i="21"/>
  <c r="BD16" i="21" s="1"/>
  <c r="AX16" i="21" s="1"/>
  <c r="AK25" i="21"/>
  <c r="BD25" i="21" s="1"/>
  <c r="AX25" i="21" s="1"/>
  <c r="AK34" i="21"/>
  <c r="BD34" i="21" s="1"/>
  <c r="AX34" i="21" s="1"/>
  <c r="AK11" i="21"/>
  <c r="BD11" i="21" s="1"/>
  <c r="AX11" i="21" s="1"/>
  <c r="AK15" i="21"/>
  <c r="BD15" i="21" s="1"/>
  <c r="AX15" i="21" s="1"/>
  <c r="AK26" i="21"/>
  <c r="BD26" i="21" s="1"/>
  <c r="AX26" i="21" s="1"/>
  <c r="AK20" i="21"/>
  <c r="BD20" i="21" s="1"/>
  <c r="AX20" i="21" s="1"/>
  <c r="AK29" i="21"/>
  <c r="BD29" i="21" s="1"/>
  <c r="AX29" i="21" s="1"/>
  <c r="AT94" i="21"/>
  <c r="AK27" i="21"/>
  <c r="BD27" i="21" s="1"/>
  <c r="AX27" i="21" s="1"/>
  <c r="AT84" i="21"/>
  <c r="AK10" i="21"/>
  <c r="BD10" i="21" s="1"/>
  <c r="AX10" i="21" s="1"/>
  <c r="U21" i="21"/>
  <c r="AK33" i="21"/>
  <c r="BD33" i="21" s="1"/>
  <c r="AX33" i="21" s="1"/>
  <c r="AK13" i="21"/>
  <c r="BD13" i="21" s="1"/>
  <c r="AX13" i="21" s="1"/>
  <c r="AK19" i="21"/>
  <c r="BD19" i="21" s="1"/>
  <c r="AX19" i="21" s="1"/>
  <c r="AK22" i="21"/>
  <c r="BD22" i="21" s="1"/>
  <c r="AX22" i="21" s="1"/>
  <c r="AK18" i="21"/>
  <c r="BD18" i="21" s="1"/>
  <c r="AX18" i="21" s="1"/>
  <c r="AK31" i="21"/>
  <c r="BD31" i="21" s="1"/>
  <c r="AX31" i="21" s="1"/>
  <c r="AK17" i="21"/>
  <c r="BD17" i="21" s="1"/>
  <c r="AX17" i="21" s="1"/>
  <c r="AK23" i="21"/>
  <c r="BD23" i="21" s="1"/>
  <c r="AX23" i="21" s="1"/>
  <c r="AK30" i="21"/>
  <c r="BD30" i="21" s="1"/>
  <c r="AX30" i="21" s="1"/>
  <c r="AT57" i="21"/>
  <c r="U83" i="21"/>
  <c r="U45" i="21"/>
  <c r="U49" i="21"/>
  <c r="U46" i="21"/>
  <c r="U36" i="21"/>
  <c r="U35" i="21"/>
  <c r="U38" i="21"/>
  <c r="U52" i="21"/>
  <c r="U54" i="21"/>
  <c r="U56" i="21"/>
  <c r="U43" i="21"/>
  <c r="U51" i="21"/>
  <c r="U41" i="21"/>
  <c r="U40" i="21"/>
  <c r="U42" i="21"/>
  <c r="U50" i="21"/>
  <c r="U37" i="21"/>
  <c r="U39" i="21"/>
  <c r="U48" i="21"/>
  <c r="AI41" i="21"/>
  <c r="AK41" i="21" s="1"/>
  <c r="BD41" i="21" s="1"/>
  <c r="AX41" i="21" s="1"/>
  <c r="AI71" i="21"/>
  <c r="AK71" i="21" s="1"/>
  <c r="BD71" i="21" s="1"/>
  <c r="AX71" i="21" s="1"/>
  <c r="AI95" i="21"/>
  <c r="AK95" i="21" s="1"/>
  <c r="BD95" i="21" s="1"/>
  <c r="AX95" i="21" s="1"/>
  <c r="U20" i="21"/>
  <c r="AI38" i="21"/>
  <c r="AK38" i="21" s="1"/>
  <c r="BD38" i="21" s="1"/>
  <c r="AX38" i="21" s="1"/>
  <c r="AI65" i="21"/>
  <c r="AK65" i="21" s="1"/>
  <c r="BD65" i="21" s="1"/>
  <c r="AX65" i="21" s="1"/>
  <c r="AI88" i="21"/>
  <c r="AK88" i="21" s="1"/>
  <c r="BD88" i="21" s="1"/>
  <c r="AX88" i="21" s="1"/>
  <c r="AI100" i="21"/>
  <c r="AK100" i="21" s="1"/>
  <c r="BD100" i="21" s="1"/>
  <c r="AX100" i="21" s="1"/>
  <c r="AI51" i="21"/>
  <c r="AK51" i="21" s="1"/>
  <c r="BD51" i="21" s="1"/>
  <c r="AX51" i="21" s="1"/>
  <c r="U18" i="21"/>
  <c r="AI60" i="21"/>
  <c r="AK60" i="21" s="1"/>
  <c r="BD60" i="21" s="1"/>
  <c r="AX60" i="21" s="1"/>
  <c r="AI75" i="21"/>
  <c r="AK75" i="21" s="1"/>
  <c r="BD75" i="21" s="1"/>
  <c r="AX75" i="21" s="1"/>
  <c r="U71" i="21"/>
  <c r="U99" i="21"/>
  <c r="U17" i="21"/>
  <c r="U108" i="21"/>
  <c r="U92" i="21"/>
  <c r="U32" i="21"/>
  <c r="U34" i="21"/>
  <c r="AI37" i="21"/>
  <c r="AK37" i="21" s="1"/>
  <c r="BD37" i="21" s="1"/>
  <c r="AX37" i="21" s="1"/>
  <c r="AI52" i="21"/>
  <c r="AK52" i="21" s="1"/>
  <c r="BD52" i="21" s="1"/>
  <c r="AX52" i="21" s="1"/>
  <c r="AI39" i="21"/>
  <c r="AK39" i="21" s="1"/>
  <c r="BD39" i="21" s="1"/>
  <c r="AX39" i="21" s="1"/>
  <c r="AI54" i="21"/>
  <c r="AK54" i="21" s="1"/>
  <c r="BD54" i="21" s="1"/>
  <c r="AX54" i="21" s="1"/>
  <c r="AI80" i="21"/>
  <c r="AK80" i="21" s="1"/>
  <c r="BD80" i="21" s="1"/>
  <c r="AX80" i="21" s="1"/>
  <c r="BA66" i="21"/>
  <c r="U95" i="21"/>
  <c r="U19" i="21"/>
  <c r="U23" i="21"/>
  <c r="U65" i="21"/>
  <c r="U77" i="21"/>
  <c r="U80" i="21"/>
  <c r="U79" i="21"/>
  <c r="U104" i="21"/>
  <c r="U12" i="21"/>
  <c r="U31" i="21"/>
  <c r="AI103" i="21"/>
  <c r="AK103" i="21" s="1"/>
  <c r="BD103" i="21" s="1"/>
  <c r="AX103" i="21" s="1"/>
  <c r="AI77" i="21"/>
  <c r="AK77" i="21" s="1"/>
  <c r="BD77" i="21" s="1"/>
  <c r="AX77" i="21" s="1"/>
  <c r="AI49" i="21"/>
  <c r="AK49" i="21" s="1"/>
  <c r="BD49" i="21" s="1"/>
  <c r="AX49" i="21" s="1"/>
  <c r="AI73" i="21"/>
  <c r="AK73" i="21" s="1"/>
  <c r="BD73" i="21" s="1"/>
  <c r="AX73" i="21" s="1"/>
  <c r="AI108" i="21"/>
  <c r="AK108" i="21" s="1"/>
  <c r="BD108" i="21" s="1"/>
  <c r="AX108" i="21" s="1"/>
  <c r="AI92" i="21"/>
  <c r="AK92" i="21" s="1"/>
  <c r="BD92" i="21" s="1"/>
  <c r="AX92" i="21" s="1"/>
  <c r="U25" i="21"/>
  <c r="AI69" i="21"/>
  <c r="AK69" i="21" s="1"/>
  <c r="BD69" i="21" s="1"/>
  <c r="AX69" i="21" s="1"/>
  <c r="AI50" i="21"/>
  <c r="AK50" i="21" s="1"/>
  <c r="BD50" i="21" s="1"/>
  <c r="AX50" i="21" s="1"/>
  <c r="U107" i="21"/>
  <c r="U91" i="21"/>
  <c r="U61" i="21"/>
  <c r="U87" i="21"/>
  <c r="U27" i="21"/>
  <c r="U88" i="21"/>
  <c r="U73" i="21"/>
  <c r="U100" i="21"/>
  <c r="U64" i="21"/>
  <c r="U85" i="21"/>
  <c r="AI78" i="21"/>
  <c r="AK78" i="21" s="1"/>
  <c r="BD78" i="21" s="1"/>
  <c r="AX78" i="21" s="1"/>
  <c r="U29" i="21"/>
  <c r="U28" i="21"/>
  <c r="AI79" i="21"/>
  <c r="AK79" i="21" s="1"/>
  <c r="BD79" i="21" s="1"/>
  <c r="AX79" i="21" s="1"/>
  <c r="AI104" i="21"/>
  <c r="AK104" i="21" s="1"/>
  <c r="BD104" i="21" s="1"/>
  <c r="AX104" i="21" s="1"/>
  <c r="AI96" i="21"/>
  <c r="AK96" i="21" s="1"/>
  <c r="BD96" i="21" s="1"/>
  <c r="AX96" i="21" s="1"/>
  <c r="AI48" i="21"/>
  <c r="AK48" i="21" s="1"/>
  <c r="BD48" i="21" s="1"/>
  <c r="AX48" i="21" s="1"/>
  <c r="U26" i="21"/>
  <c r="AI40" i="21"/>
  <c r="AK40" i="21" s="1"/>
  <c r="BD40" i="21" s="1"/>
  <c r="AX40" i="21" s="1"/>
  <c r="AI86" i="21"/>
  <c r="AK86" i="21" s="1"/>
  <c r="BD86" i="21" s="1"/>
  <c r="AX86" i="21" s="1"/>
  <c r="U78" i="21"/>
  <c r="U103" i="21"/>
  <c r="U13" i="21"/>
  <c r="AI36" i="21"/>
  <c r="AK36" i="21" s="1"/>
  <c r="BD36" i="21" s="1"/>
  <c r="AX36" i="21" s="1"/>
  <c r="U96" i="21"/>
  <c r="U16" i="21"/>
  <c r="U33" i="21"/>
  <c r="U60" i="21"/>
  <c r="U69" i="21"/>
  <c r="U75" i="21"/>
  <c r="U86" i="21"/>
  <c r="E21" i="1"/>
  <c r="F4" i="17"/>
  <c r="E22" i="1"/>
  <c r="E34" i="1"/>
  <c r="B125" i="2"/>
  <c r="L126" i="2" s="1"/>
  <c r="L127" i="2"/>
  <c r="K126" i="2"/>
  <c r="E45" i="1"/>
  <c r="B215" i="2"/>
  <c r="F7" i="17"/>
  <c r="B233" i="2"/>
  <c r="H120" i="2"/>
  <c r="C3" i="17" l="1"/>
  <c r="B241" i="2"/>
  <c r="F14" i="29"/>
  <c r="I14" i="29"/>
  <c r="E17" i="29"/>
  <c r="B284" i="2"/>
  <c r="B285" i="2" s="1"/>
  <c r="B292" i="2" s="1"/>
  <c r="G13" i="28"/>
  <c r="K241" i="2"/>
  <c r="N4" i="17"/>
  <c r="AT42" i="21"/>
  <c r="AV42" i="21" s="1"/>
  <c r="AZ42" i="21" s="1"/>
  <c r="AT100" i="21"/>
  <c r="AV100" i="21" s="1"/>
  <c r="AZ100" i="21" s="1"/>
  <c r="AT34" i="21"/>
  <c r="AV34" i="21" s="1"/>
  <c r="AZ34" i="21" s="1"/>
  <c r="AT17" i="21"/>
  <c r="AV17" i="21" s="1"/>
  <c r="AZ17" i="21" s="1"/>
  <c r="AT35" i="21"/>
  <c r="AV35" i="21" s="1"/>
  <c r="AZ35" i="21" s="1"/>
  <c r="AT25" i="21"/>
  <c r="AV25" i="21" s="1"/>
  <c r="AZ25" i="21" s="1"/>
  <c r="AT106" i="21"/>
  <c r="AV106" i="21" s="1"/>
  <c r="AZ106" i="21" s="1"/>
  <c r="AT56" i="21"/>
  <c r="AV56" i="21" s="1"/>
  <c r="AZ56" i="21" s="1"/>
  <c r="AT75" i="21"/>
  <c r="AV75" i="21" s="1"/>
  <c r="AZ75" i="21" s="1"/>
  <c r="AT26" i="21"/>
  <c r="AV26" i="21" s="1"/>
  <c r="AZ26" i="21" s="1"/>
  <c r="AT85" i="21"/>
  <c r="AV85" i="21" s="1"/>
  <c r="AZ85" i="21" s="1"/>
  <c r="AT32" i="21"/>
  <c r="AV32" i="21" s="1"/>
  <c r="AZ32" i="21" s="1"/>
  <c r="AT99" i="21"/>
  <c r="AV99" i="21" s="1"/>
  <c r="AZ99" i="21" s="1"/>
  <c r="AT41" i="21"/>
  <c r="AV41" i="21" s="1"/>
  <c r="AZ41" i="21" s="1"/>
  <c r="AT83" i="21"/>
  <c r="AV83" i="21" s="1"/>
  <c r="AZ83" i="21" s="1"/>
  <c r="AT44" i="21"/>
  <c r="AV44" i="21" s="1"/>
  <c r="AZ44" i="21" s="1"/>
  <c r="AT103" i="21"/>
  <c r="AV103" i="21" s="1"/>
  <c r="AZ103" i="21" s="1"/>
  <c r="AT98" i="21"/>
  <c r="AV98" i="21" s="1"/>
  <c r="AZ98" i="21" s="1"/>
  <c r="AT96" i="21"/>
  <c r="AV96" i="21" s="1"/>
  <c r="AZ96" i="21" s="1"/>
  <c r="AT27" i="21"/>
  <c r="AV27" i="21" s="1"/>
  <c r="AZ27" i="21" s="1"/>
  <c r="AT50" i="21"/>
  <c r="AV50" i="21" s="1"/>
  <c r="AZ50" i="21" s="1"/>
  <c r="AT90" i="21"/>
  <c r="AV90" i="21" s="1"/>
  <c r="AZ90" i="21" s="1"/>
  <c r="AT105" i="21"/>
  <c r="AV105" i="21" s="1"/>
  <c r="AZ105" i="21" s="1"/>
  <c r="AT86" i="21"/>
  <c r="AV86" i="21" s="1"/>
  <c r="AZ86" i="21" s="1"/>
  <c r="AT33" i="21"/>
  <c r="AV33" i="21" s="1"/>
  <c r="AZ33" i="21" s="1"/>
  <c r="AT13" i="21"/>
  <c r="AV13" i="21" s="1"/>
  <c r="AZ13" i="21" s="1"/>
  <c r="AT73" i="21"/>
  <c r="AV73" i="21" s="1"/>
  <c r="AZ73" i="21" s="1"/>
  <c r="AT61" i="21"/>
  <c r="AV61" i="21" s="1"/>
  <c r="AZ61" i="21" s="1"/>
  <c r="AT31" i="21"/>
  <c r="AV31" i="21" s="1"/>
  <c r="AZ31" i="21" s="1"/>
  <c r="AT80" i="21"/>
  <c r="AV80" i="21" s="1"/>
  <c r="AZ80" i="21" s="1"/>
  <c r="AT19" i="21"/>
  <c r="AV19" i="21" s="1"/>
  <c r="AT39" i="21"/>
  <c r="AV39" i="21" s="1"/>
  <c r="AZ39" i="21" s="1"/>
  <c r="AT45" i="21"/>
  <c r="AV45" i="21" s="1"/>
  <c r="AZ45" i="21" s="1"/>
  <c r="AT24" i="21"/>
  <c r="AV24" i="21" s="1"/>
  <c r="AZ24" i="21" s="1"/>
  <c r="AT81" i="21"/>
  <c r="AV81" i="21" s="1"/>
  <c r="AZ81" i="21" s="1"/>
  <c r="AT9" i="21"/>
  <c r="AV9" i="21" s="1"/>
  <c r="AZ9" i="21" s="1"/>
  <c r="AT55" i="21"/>
  <c r="AV55" i="21" s="1"/>
  <c r="AZ55" i="21" s="1"/>
  <c r="AT101" i="21"/>
  <c r="AV101" i="21" s="1"/>
  <c r="AZ101" i="21" s="1"/>
  <c r="AT109" i="21"/>
  <c r="AV109" i="21" s="1"/>
  <c r="AZ109" i="21" s="1"/>
  <c r="AT47" i="21"/>
  <c r="AV47" i="21" s="1"/>
  <c r="AZ47" i="21" s="1"/>
  <c r="AT30" i="21"/>
  <c r="AV30" i="21" s="1"/>
  <c r="AZ30" i="21" s="1"/>
  <c r="AT102" i="21"/>
  <c r="AV102" i="21" s="1"/>
  <c r="AZ102" i="21" s="1"/>
  <c r="AT72" i="21"/>
  <c r="AV72" i="21" s="1"/>
  <c r="AZ72" i="21" s="1"/>
  <c r="AT15" i="21"/>
  <c r="AV15" i="21" s="1"/>
  <c r="AZ15" i="21" s="1"/>
  <c r="AT88" i="21"/>
  <c r="AV88" i="21" s="1"/>
  <c r="AZ88" i="21" s="1"/>
  <c r="AT12" i="21"/>
  <c r="AV12" i="21" s="1"/>
  <c r="AZ12" i="21" s="1"/>
  <c r="AT95" i="21"/>
  <c r="AV95" i="21" s="1"/>
  <c r="AZ95" i="21" s="1"/>
  <c r="AT37" i="21"/>
  <c r="AV37" i="21" s="1"/>
  <c r="AZ37" i="21" s="1"/>
  <c r="AT54" i="21"/>
  <c r="AV54" i="21" s="1"/>
  <c r="AZ54" i="21" s="1"/>
  <c r="AT76" i="21"/>
  <c r="AV76" i="21" s="1"/>
  <c r="AZ76" i="21" s="1"/>
  <c r="AT63" i="21"/>
  <c r="AV63" i="21" s="1"/>
  <c r="AZ63" i="21" s="1"/>
  <c r="AT22" i="21"/>
  <c r="AV22" i="21" s="1"/>
  <c r="AZ22" i="21" s="1"/>
  <c r="AT69" i="21"/>
  <c r="AV69" i="21" s="1"/>
  <c r="AZ69" i="21" s="1"/>
  <c r="AT78" i="21"/>
  <c r="AV78" i="21" s="1"/>
  <c r="AZ78" i="21" s="1"/>
  <c r="AT28" i="21"/>
  <c r="AV28" i="21" s="1"/>
  <c r="AZ28" i="21" s="1"/>
  <c r="AT64" i="21"/>
  <c r="AV64" i="21" s="1"/>
  <c r="AZ64" i="21" s="1"/>
  <c r="AT107" i="21"/>
  <c r="AV107" i="21" s="1"/>
  <c r="AZ107" i="21" s="1"/>
  <c r="AT104" i="21"/>
  <c r="AV104" i="21" s="1"/>
  <c r="AZ104" i="21" s="1"/>
  <c r="AT65" i="21"/>
  <c r="AV65" i="21" s="1"/>
  <c r="AZ65" i="21" s="1"/>
  <c r="AT92" i="21"/>
  <c r="AV92" i="21" s="1"/>
  <c r="AZ92" i="21" s="1"/>
  <c r="AT71" i="21"/>
  <c r="AV71" i="21" s="1"/>
  <c r="AZ71" i="21" s="1"/>
  <c r="AT51" i="21"/>
  <c r="AV51" i="21" s="1"/>
  <c r="AZ51" i="21" s="1"/>
  <c r="AT52" i="21"/>
  <c r="AV52" i="21" s="1"/>
  <c r="AZ52" i="21" s="1"/>
  <c r="AT46" i="21"/>
  <c r="AV46" i="21" s="1"/>
  <c r="AZ46" i="21" s="1"/>
  <c r="AT97" i="21"/>
  <c r="AV97" i="21" s="1"/>
  <c r="AZ97" i="21" s="1"/>
  <c r="AT93" i="21"/>
  <c r="AV93" i="21" s="1"/>
  <c r="AZ93" i="21" s="1"/>
  <c r="AT14" i="21"/>
  <c r="AV14" i="21" s="1"/>
  <c r="AZ14" i="21" s="1"/>
  <c r="AT67" i="21"/>
  <c r="AV67" i="21" s="1"/>
  <c r="AZ67" i="21" s="1"/>
  <c r="AT60" i="21"/>
  <c r="AV60" i="21" s="1"/>
  <c r="AZ60" i="21" s="1"/>
  <c r="AT29" i="21"/>
  <c r="AV29" i="21" s="1"/>
  <c r="AZ29" i="21" s="1"/>
  <c r="AT87" i="21"/>
  <c r="AV87" i="21" s="1"/>
  <c r="AZ87" i="21" s="1"/>
  <c r="AT79" i="21"/>
  <c r="AV79" i="21" s="1"/>
  <c r="AZ79" i="21" s="1"/>
  <c r="AT23" i="21"/>
  <c r="AT108" i="21"/>
  <c r="AV108" i="21" s="1"/>
  <c r="AZ108" i="21" s="1"/>
  <c r="AT20" i="21"/>
  <c r="AV20" i="21" s="1"/>
  <c r="AZ20" i="21" s="1"/>
  <c r="AT48" i="21"/>
  <c r="AV48" i="21" s="1"/>
  <c r="AZ48" i="21" s="1"/>
  <c r="AT43" i="21"/>
  <c r="AV43" i="21" s="1"/>
  <c r="AZ43" i="21" s="1"/>
  <c r="AT38" i="21"/>
  <c r="AV38" i="21" s="1"/>
  <c r="AZ38" i="21" s="1"/>
  <c r="AT49" i="21"/>
  <c r="AV49" i="21" s="1"/>
  <c r="AZ49" i="21" s="1"/>
  <c r="AT21" i="21"/>
  <c r="AV21" i="21" s="1"/>
  <c r="AZ21" i="21" s="1"/>
  <c r="AT62" i="21"/>
  <c r="AV62" i="21" s="1"/>
  <c r="AZ62" i="21" s="1"/>
  <c r="AT59" i="21"/>
  <c r="AV59" i="21" s="1"/>
  <c r="AT53" i="21"/>
  <c r="AV53" i="21" s="1"/>
  <c r="AZ53" i="21" s="1"/>
  <c r="AT89" i="21"/>
  <c r="AV89" i="21" s="1"/>
  <c r="AZ89" i="21" s="1"/>
  <c r="AT11" i="21"/>
  <c r="AV11" i="21" s="1"/>
  <c r="AZ11" i="21" s="1"/>
  <c r="AT40" i="21"/>
  <c r="AV40" i="21" s="1"/>
  <c r="AZ40" i="21" s="1"/>
  <c r="AT16" i="21"/>
  <c r="AV16" i="21" s="1"/>
  <c r="AZ16" i="21" s="1"/>
  <c r="AT91" i="21"/>
  <c r="AV91" i="21" s="1"/>
  <c r="AZ91" i="21" s="1"/>
  <c r="AT77" i="21"/>
  <c r="AV77" i="21" s="1"/>
  <c r="AZ77" i="21" s="1"/>
  <c r="AT18" i="21"/>
  <c r="AV18" i="21" s="1"/>
  <c r="AZ18" i="21" s="1"/>
  <c r="AT36" i="21"/>
  <c r="AV36" i="21" s="1"/>
  <c r="AZ36" i="21" s="1"/>
  <c r="AT68" i="21"/>
  <c r="AV68" i="21" s="1"/>
  <c r="AZ68" i="21" s="1"/>
  <c r="AT82" i="21"/>
  <c r="AV82" i="21" s="1"/>
  <c r="AZ82" i="21" s="1"/>
  <c r="F5" i="17"/>
  <c r="U10" i="21"/>
  <c r="BA50" i="21"/>
  <c r="BC90" i="21"/>
  <c r="AW90" i="21" s="1"/>
  <c r="BB90" i="21"/>
  <c r="BC32" i="21"/>
  <c r="AW32" i="21" s="1"/>
  <c r="BB32" i="21"/>
  <c r="BC17" i="21"/>
  <c r="AW17" i="21" s="1"/>
  <c r="BB17" i="21"/>
  <c r="BC94" i="21"/>
  <c r="AW94" i="21" s="1"/>
  <c r="BB94" i="21"/>
  <c r="BA41" i="21"/>
  <c r="BA54" i="21"/>
  <c r="BA36" i="21"/>
  <c r="BA81" i="21"/>
  <c r="BA83" i="21"/>
  <c r="BC43" i="21"/>
  <c r="AW43" i="21" s="1"/>
  <c r="BB43" i="21"/>
  <c r="BC45" i="21"/>
  <c r="AW45" i="21" s="1"/>
  <c r="BB45" i="21"/>
  <c r="BC13" i="21"/>
  <c r="AW13" i="21" s="1"/>
  <c r="BB13" i="21"/>
  <c r="BC33" i="21"/>
  <c r="AW33" i="21" s="1"/>
  <c r="BB33" i="21"/>
  <c r="BC92" i="21"/>
  <c r="AW92" i="21" s="1"/>
  <c r="BB92" i="21"/>
  <c r="BB108" i="21"/>
  <c r="BC108" i="21"/>
  <c r="AW108" i="21" s="1"/>
  <c r="BC78" i="21"/>
  <c r="AW78" i="21" s="1"/>
  <c r="BB78" i="21"/>
  <c r="BC23" i="21"/>
  <c r="AW23" i="21" s="1"/>
  <c r="BB23" i="21"/>
  <c r="BB95" i="21"/>
  <c r="BC95" i="21"/>
  <c r="AW95" i="21" s="1"/>
  <c r="BC71" i="21"/>
  <c r="AW71" i="21" s="1"/>
  <c r="BB71" i="21"/>
  <c r="BC31" i="21"/>
  <c r="AW31" i="21" s="1"/>
  <c r="BB31" i="21"/>
  <c r="BC51" i="21"/>
  <c r="AW51" i="21" s="1"/>
  <c r="BB51" i="21"/>
  <c r="BB106" i="21"/>
  <c r="BC106" i="21"/>
  <c r="AW106" i="21" s="1"/>
  <c r="BC68" i="21"/>
  <c r="AW68" i="21" s="1"/>
  <c r="BB68" i="21"/>
  <c r="BC73" i="21"/>
  <c r="AW73" i="21" s="1"/>
  <c r="BB73" i="21"/>
  <c r="BA90" i="21"/>
  <c r="BA97" i="21"/>
  <c r="BA72" i="21"/>
  <c r="BC70" i="21"/>
  <c r="AW70" i="21" s="1"/>
  <c r="BB70" i="21"/>
  <c r="BA9" i="21"/>
  <c r="BC74" i="21"/>
  <c r="AW74" i="21" s="1"/>
  <c r="BB74" i="21"/>
  <c r="BA22" i="21"/>
  <c r="BA47" i="21"/>
  <c r="BC55" i="21"/>
  <c r="AW55" i="21" s="1"/>
  <c r="BB55" i="21"/>
  <c r="BC76" i="21"/>
  <c r="AW76" i="21" s="1"/>
  <c r="BB76" i="21"/>
  <c r="BC86" i="21"/>
  <c r="AW86" i="21" s="1"/>
  <c r="BB86" i="21"/>
  <c r="BC63" i="21"/>
  <c r="AW63" i="21" s="1"/>
  <c r="BB63" i="21"/>
  <c r="BB109" i="21"/>
  <c r="BC109" i="21"/>
  <c r="AW109" i="21" s="1"/>
  <c r="BC77" i="21"/>
  <c r="AW77" i="21" s="1"/>
  <c r="BB77" i="21"/>
  <c r="BA52" i="21"/>
  <c r="BC26" i="21"/>
  <c r="AW26" i="21" s="1"/>
  <c r="BB26" i="21"/>
  <c r="BC29" i="21"/>
  <c r="AW29" i="21" s="1"/>
  <c r="BB29" i="21"/>
  <c r="BC84" i="21"/>
  <c r="AW84" i="21" s="1"/>
  <c r="BB84" i="21"/>
  <c r="BB99" i="21"/>
  <c r="BC99" i="21"/>
  <c r="AW99" i="21" s="1"/>
  <c r="BC35" i="21"/>
  <c r="AW35" i="21" s="1"/>
  <c r="BB35" i="21"/>
  <c r="BC20" i="21"/>
  <c r="AW20" i="21" s="1"/>
  <c r="BB20" i="21"/>
  <c r="BC49" i="21"/>
  <c r="AW49" i="21" s="1"/>
  <c r="BB49" i="21"/>
  <c r="BA93" i="21"/>
  <c r="BC81" i="21"/>
  <c r="AW81" i="21" s="1"/>
  <c r="BB81" i="21"/>
  <c r="BA58" i="21"/>
  <c r="AV58" i="21"/>
  <c r="AZ58" i="21" s="1"/>
  <c r="BA44" i="21"/>
  <c r="BC36" i="21"/>
  <c r="AW36" i="21" s="1"/>
  <c r="BB36" i="21"/>
  <c r="BA74" i="21"/>
  <c r="BC66" i="21"/>
  <c r="AW66" i="21" s="1"/>
  <c r="BB66" i="21"/>
  <c r="BA68" i="21"/>
  <c r="BA84" i="21"/>
  <c r="AV84" i="21"/>
  <c r="AZ84" i="21" s="1"/>
  <c r="BA82" i="21"/>
  <c r="BC93" i="21"/>
  <c r="AW93" i="21" s="1"/>
  <c r="BB93" i="21"/>
  <c r="BB97" i="21"/>
  <c r="BC97" i="21"/>
  <c r="AW97" i="21" s="1"/>
  <c r="BC11" i="21"/>
  <c r="AW11" i="21" s="1"/>
  <c r="BB11" i="21"/>
  <c r="BC15" i="21"/>
  <c r="AW15" i="21" s="1"/>
  <c r="BB15" i="21"/>
  <c r="BC101" i="21"/>
  <c r="AW101" i="21" s="1"/>
  <c r="BB101" i="21"/>
  <c r="BA46" i="21"/>
  <c r="BC56" i="21"/>
  <c r="AW56" i="21" s="1"/>
  <c r="BB56" i="21"/>
  <c r="BC40" i="21"/>
  <c r="AW40" i="21" s="1"/>
  <c r="BB40" i="21"/>
  <c r="BC54" i="21"/>
  <c r="AW54" i="21" s="1"/>
  <c r="BB54" i="21"/>
  <c r="BA48" i="21"/>
  <c r="BA42" i="21"/>
  <c r="BA38" i="21"/>
  <c r="BA49" i="21"/>
  <c r="BA106" i="21"/>
  <c r="BC82" i="21"/>
  <c r="AW82" i="21" s="1"/>
  <c r="BB82" i="21"/>
  <c r="BC64" i="21"/>
  <c r="AW64" i="21" s="1"/>
  <c r="BB64" i="21"/>
  <c r="BC16" i="21"/>
  <c r="AW16" i="21" s="1"/>
  <c r="BB16" i="21"/>
  <c r="BC88" i="21"/>
  <c r="AW88" i="21" s="1"/>
  <c r="BB88" i="21"/>
  <c r="BC61" i="21"/>
  <c r="AW61" i="21" s="1"/>
  <c r="BB61" i="21"/>
  <c r="BC19" i="21"/>
  <c r="AW19" i="21" s="1"/>
  <c r="BB19" i="21"/>
  <c r="BC59" i="21"/>
  <c r="AW59" i="21" s="1"/>
  <c r="BB59" i="21"/>
  <c r="BA21" i="21"/>
  <c r="BB100" i="21"/>
  <c r="BC100" i="21"/>
  <c r="AW100" i="21" s="1"/>
  <c r="BC79" i="21"/>
  <c r="AW79" i="21" s="1"/>
  <c r="BB79" i="21"/>
  <c r="BC42" i="21"/>
  <c r="AW42" i="21" s="1"/>
  <c r="BB42" i="21"/>
  <c r="BB103" i="21"/>
  <c r="BC103" i="21"/>
  <c r="AW103" i="21" s="1"/>
  <c r="BC50" i="21"/>
  <c r="AW50" i="21" s="1"/>
  <c r="BB50" i="21"/>
  <c r="BC25" i="21"/>
  <c r="AW25" i="21" s="1"/>
  <c r="BB25" i="21"/>
  <c r="BB98" i="21"/>
  <c r="BC98" i="21"/>
  <c r="AW98" i="21" s="1"/>
  <c r="BC39" i="21"/>
  <c r="AW39" i="21" s="1"/>
  <c r="BB39" i="21"/>
  <c r="BC48" i="21"/>
  <c r="AW48" i="21" s="1"/>
  <c r="BB48" i="21"/>
  <c r="BC27" i="21"/>
  <c r="AW27" i="21" s="1"/>
  <c r="BB27" i="21"/>
  <c r="BA30" i="21"/>
  <c r="BA24" i="21"/>
  <c r="BA62" i="21"/>
  <c r="BC67" i="21"/>
  <c r="AW67" i="21" s="1"/>
  <c r="BB67" i="21"/>
  <c r="BA94" i="21"/>
  <c r="AV94" i="21"/>
  <c r="AZ94" i="21" s="1"/>
  <c r="BA105" i="21"/>
  <c r="BC85" i="21"/>
  <c r="AW85" i="21" s="1"/>
  <c r="BB85" i="21"/>
  <c r="BA70" i="21"/>
  <c r="AV70" i="21"/>
  <c r="AZ70" i="21" s="1"/>
  <c r="BA63" i="21"/>
  <c r="BA14" i="21"/>
  <c r="BC53" i="21"/>
  <c r="AW53" i="21" s="1"/>
  <c r="BB53" i="21"/>
  <c r="BC58" i="21"/>
  <c r="AW58" i="21" s="1"/>
  <c r="BB58" i="21"/>
  <c r="BA11" i="21"/>
  <c r="BC69" i="21"/>
  <c r="AW69" i="21" s="1"/>
  <c r="BB69" i="21"/>
  <c r="BC24" i="21"/>
  <c r="AW24" i="21" s="1"/>
  <c r="BB24" i="21"/>
  <c r="BC75" i="21"/>
  <c r="AW75" i="21" s="1"/>
  <c r="BB75" i="21"/>
  <c r="BA67" i="21"/>
  <c r="BC14" i="21"/>
  <c r="AW14" i="21" s="1"/>
  <c r="BB14" i="21"/>
  <c r="BC30" i="21"/>
  <c r="AW30" i="21" s="1"/>
  <c r="BB30" i="21"/>
  <c r="BA51" i="21"/>
  <c r="BC65" i="21"/>
  <c r="AW65" i="21" s="1"/>
  <c r="BB65" i="21"/>
  <c r="BB96" i="21"/>
  <c r="BC96" i="21"/>
  <c r="AW96" i="21" s="1"/>
  <c r="BC41" i="21"/>
  <c r="AW41" i="21" s="1"/>
  <c r="BB41" i="21"/>
  <c r="BA40" i="21"/>
  <c r="BA56" i="21"/>
  <c r="BA35" i="21"/>
  <c r="BA45" i="21"/>
  <c r="BC57" i="21"/>
  <c r="AW57" i="21" s="1"/>
  <c r="BB57" i="21"/>
  <c r="BC52" i="21"/>
  <c r="AW52" i="21" s="1"/>
  <c r="BB52" i="21"/>
  <c r="BC60" i="21"/>
  <c r="AW60" i="21" s="1"/>
  <c r="BB60" i="21"/>
  <c r="BC12" i="21"/>
  <c r="AW12" i="21" s="1"/>
  <c r="BB12" i="21"/>
  <c r="BC80" i="21"/>
  <c r="AW80" i="21" s="1"/>
  <c r="BB80" i="21"/>
  <c r="BC38" i="21"/>
  <c r="AW38" i="21" s="1"/>
  <c r="BB38" i="21"/>
  <c r="BC46" i="21"/>
  <c r="AW46" i="21" s="1"/>
  <c r="BB46" i="21"/>
  <c r="BB104" i="21"/>
  <c r="BC104" i="21"/>
  <c r="AW104" i="21" s="1"/>
  <c r="BC28" i="21"/>
  <c r="AW28" i="21" s="1"/>
  <c r="BB28" i="21"/>
  <c r="BC37" i="21"/>
  <c r="AW37" i="21" s="1"/>
  <c r="BB37" i="21"/>
  <c r="BC91" i="21"/>
  <c r="AW91" i="21" s="1"/>
  <c r="BB91" i="21"/>
  <c r="BB107" i="21"/>
  <c r="BC107" i="21"/>
  <c r="AW107" i="21" s="1"/>
  <c r="BC34" i="21"/>
  <c r="AW34" i="21" s="1"/>
  <c r="BB34" i="21"/>
  <c r="BC18" i="21"/>
  <c r="AW18" i="21" s="1"/>
  <c r="BB18" i="21"/>
  <c r="BB102" i="21"/>
  <c r="BC102" i="21"/>
  <c r="AW102" i="21" s="1"/>
  <c r="BC72" i="21"/>
  <c r="AW72" i="21" s="1"/>
  <c r="BB72" i="21"/>
  <c r="BC10" i="21"/>
  <c r="AW10" i="21" s="1"/>
  <c r="BB10" i="21"/>
  <c r="BC87" i="21"/>
  <c r="AW87" i="21" s="1"/>
  <c r="BB87" i="21"/>
  <c r="BA57" i="21"/>
  <c r="AV57" i="21"/>
  <c r="AZ57" i="21" s="1"/>
  <c r="BA55" i="21"/>
  <c r="BA15" i="21"/>
  <c r="BA98" i="21"/>
  <c r="BA76" i="21"/>
  <c r="BA102" i="21"/>
  <c r="BA59" i="21"/>
  <c r="BA53" i="21"/>
  <c r="BC44" i="21"/>
  <c r="AW44" i="21" s="1"/>
  <c r="BB44" i="21"/>
  <c r="BA89" i="21"/>
  <c r="BB9" i="21"/>
  <c r="BC9" i="21"/>
  <c r="AW9" i="21" s="1"/>
  <c r="BC47" i="21"/>
  <c r="AW47" i="21" s="1"/>
  <c r="BB47" i="21"/>
  <c r="BC21" i="21"/>
  <c r="AW21" i="21" s="1"/>
  <c r="BB21" i="21"/>
  <c r="BC62" i="21"/>
  <c r="AW62" i="21" s="1"/>
  <c r="BB62" i="21"/>
  <c r="BC83" i="21"/>
  <c r="AW83" i="21" s="1"/>
  <c r="BB83" i="21"/>
  <c r="BC89" i="21"/>
  <c r="AW89" i="21" s="1"/>
  <c r="BB89" i="21"/>
  <c r="BB105" i="21"/>
  <c r="BC105" i="21"/>
  <c r="AW105" i="21" s="1"/>
  <c r="BC22" i="21"/>
  <c r="AW22" i="21" s="1"/>
  <c r="BB22" i="21"/>
  <c r="AV66" i="21"/>
  <c r="AZ66" i="21" s="1"/>
  <c r="E61" i="1"/>
  <c r="AV74" i="21"/>
  <c r="AZ74" i="21" s="1"/>
  <c r="BA109" i="21"/>
  <c r="BA101" i="21"/>
  <c r="BA43" i="21"/>
  <c r="BA75" i="21"/>
  <c r="BA60" i="21"/>
  <c r="BA33" i="21"/>
  <c r="BA39" i="21"/>
  <c r="BA37" i="21"/>
  <c r="BA78" i="21"/>
  <c r="BA26" i="21"/>
  <c r="BA28" i="21"/>
  <c r="BA64" i="21"/>
  <c r="BA73" i="21"/>
  <c r="BA88" i="21"/>
  <c r="BA87" i="21"/>
  <c r="BA25" i="21"/>
  <c r="BA79" i="21"/>
  <c r="BA77" i="21"/>
  <c r="BA19" i="21"/>
  <c r="BA95" i="21"/>
  <c r="BA34" i="21"/>
  <c r="BA108" i="21"/>
  <c r="BA17" i="21"/>
  <c r="BA18" i="21"/>
  <c r="BA20" i="21"/>
  <c r="BA86" i="21"/>
  <c r="BA69" i="21"/>
  <c r="BA16" i="21"/>
  <c r="BA96" i="21"/>
  <c r="BA13" i="21"/>
  <c r="BA103" i="21"/>
  <c r="BA29" i="21"/>
  <c r="BA85" i="21"/>
  <c r="BA100" i="21"/>
  <c r="BA27" i="21"/>
  <c r="BA61" i="21"/>
  <c r="BA91" i="21"/>
  <c r="BA107" i="21"/>
  <c r="BA31" i="21"/>
  <c r="BA12" i="21"/>
  <c r="BA104" i="21"/>
  <c r="BA80" i="21"/>
  <c r="BA65" i="21"/>
  <c r="BA23" i="21"/>
  <c r="BA32" i="21"/>
  <c r="BA92" i="21"/>
  <c r="BA99" i="21"/>
  <c r="BA71" i="21"/>
  <c r="R16" i="8"/>
  <c r="E36" i="1"/>
  <c r="K4" i="17"/>
  <c r="G247" i="2" l="1"/>
  <c r="B243" i="2"/>
  <c r="B73" i="1" s="1"/>
  <c r="B242" i="2"/>
  <c r="K3" i="8"/>
  <c r="L3" i="8" s="1"/>
  <c r="B293" i="2"/>
  <c r="AT10" i="21"/>
  <c r="AV10" i="21" s="1"/>
  <c r="AZ10" i="21" s="1"/>
  <c r="BA10" i="21"/>
  <c r="B428" i="2"/>
  <c r="H4" i="21"/>
  <c r="AV23" i="21"/>
  <c r="AZ23" i="21" s="1"/>
  <c r="AZ19" i="21"/>
  <c r="H2" i="21"/>
  <c r="AZ59" i="21"/>
  <c r="H3" i="21"/>
  <c r="D607" i="17"/>
  <c r="D194" i="17"/>
  <c r="C598" i="17"/>
  <c r="D606" i="17"/>
  <c r="C174" i="17"/>
  <c r="D291" i="17"/>
  <c r="D60" i="17"/>
  <c r="C524" i="17"/>
  <c r="C420" i="17"/>
  <c r="C446" i="17"/>
  <c r="C228" i="17"/>
  <c r="D222" i="17"/>
  <c r="D562" i="17"/>
  <c r="C484" i="17"/>
  <c r="D418" i="17"/>
  <c r="D163" i="17"/>
  <c r="D472" i="17"/>
  <c r="D561" i="17"/>
  <c r="D381" i="17"/>
  <c r="C449" i="17"/>
  <c r="C123" i="17"/>
  <c r="C30" i="17"/>
  <c r="D594" i="17"/>
  <c r="C541" i="17"/>
  <c r="C516" i="17"/>
  <c r="C594" i="17"/>
  <c r="C546" i="17"/>
  <c r="C380" i="17"/>
  <c r="D227" i="17"/>
  <c r="D585" i="17"/>
  <c r="C535" i="17"/>
  <c r="C382" i="17"/>
  <c r="D215" i="17"/>
  <c r="D281" i="17"/>
  <c r="D509" i="17"/>
  <c r="D304" i="17"/>
  <c r="C513" i="17"/>
  <c r="D359" i="17"/>
  <c r="C251" i="17"/>
  <c r="D29" i="17"/>
  <c r="C77" i="17"/>
  <c r="D368" i="17"/>
  <c r="C610" i="17"/>
  <c r="D546" i="17"/>
  <c r="C570" i="17"/>
  <c r="D494" i="17"/>
  <c r="D430" i="17"/>
  <c r="C468" i="17"/>
  <c r="D559" i="17"/>
  <c r="D474" i="17"/>
  <c r="D575" i="17"/>
  <c r="C480" i="17"/>
  <c r="C404" i="17"/>
  <c r="C387" i="17"/>
  <c r="D259" i="17"/>
  <c r="D131" i="17"/>
  <c r="C571" i="17"/>
  <c r="D600" i="17"/>
  <c r="C590" i="17"/>
  <c r="D440" i="17"/>
  <c r="C414" i="17"/>
  <c r="C389" i="17"/>
  <c r="C343" i="17"/>
  <c r="D576" i="17"/>
  <c r="C345" i="17"/>
  <c r="C293" i="17"/>
  <c r="C471" i="17"/>
  <c r="D317" i="17"/>
  <c r="C164" i="17"/>
  <c r="C113" i="17"/>
  <c r="D92" i="17"/>
  <c r="D519" i="17"/>
  <c r="D391" i="17"/>
  <c r="D366" i="17"/>
  <c r="D314" i="17"/>
  <c r="C64" i="17"/>
  <c r="D158" i="17"/>
  <c r="D268" i="17"/>
  <c r="C13" i="17"/>
  <c r="C157" i="17"/>
  <c r="C240" i="17"/>
  <c r="D597" i="17"/>
  <c r="D598" i="17"/>
  <c r="D586" i="17"/>
  <c r="D554" i="17"/>
  <c r="D551" i="17"/>
  <c r="C586" i="17"/>
  <c r="C533" i="17"/>
  <c r="D502" i="17"/>
  <c r="D470" i="17"/>
  <c r="D438" i="17"/>
  <c r="C508" i="17"/>
  <c r="C476" i="17"/>
  <c r="C606" i="17"/>
  <c r="D591" i="17"/>
  <c r="C562" i="17"/>
  <c r="D490" i="17"/>
  <c r="D426" i="17"/>
  <c r="D566" i="17"/>
  <c r="D514" i="17"/>
  <c r="C496" i="17"/>
  <c r="C444" i="17"/>
  <c r="C412" i="17"/>
  <c r="C364" i="17"/>
  <c r="C403" i="17"/>
  <c r="C339" i="17"/>
  <c r="D275" i="17"/>
  <c r="D211" i="17"/>
  <c r="D147" i="17"/>
  <c r="C287" i="17"/>
  <c r="C587" i="17"/>
  <c r="D553" i="17"/>
  <c r="D534" i="17"/>
  <c r="D572" i="17"/>
  <c r="C534" i="17"/>
  <c r="C519" i="17"/>
  <c r="D456" i="17"/>
  <c r="C494" i="17"/>
  <c r="C430" i="17"/>
  <c r="C366" i="17"/>
  <c r="C405" i="17"/>
  <c r="D582" i="17"/>
  <c r="C407" i="17"/>
  <c r="D151" i="17"/>
  <c r="D538" i="17"/>
  <c r="D460" i="17"/>
  <c r="C409" i="17"/>
  <c r="D249" i="17"/>
  <c r="D121" i="17"/>
  <c r="C561" i="17"/>
  <c r="C503" i="17"/>
  <c r="D477" i="17"/>
  <c r="D349" i="17"/>
  <c r="D324" i="17"/>
  <c r="C196" i="17"/>
  <c r="D272" i="17"/>
  <c r="C145" i="17"/>
  <c r="C106" i="17"/>
  <c r="D76" i="17"/>
  <c r="C497" i="17"/>
  <c r="C433" i="17"/>
  <c r="D471" i="17"/>
  <c r="D407" i="17"/>
  <c r="D343" i="17"/>
  <c r="D382" i="17"/>
  <c r="C270" i="17"/>
  <c r="C142" i="17"/>
  <c r="C219" i="17"/>
  <c r="C32" i="17"/>
  <c r="D62" i="17"/>
  <c r="D190" i="17"/>
  <c r="D61" i="17"/>
  <c r="C91" i="17"/>
  <c r="D172" i="17"/>
  <c r="D79" i="17"/>
  <c r="C109" i="17"/>
  <c r="C125" i="17"/>
  <c r="C253" i="17"/>
  <c r="C176" i="17"/>
  <c r="D329" i="17"/>
  <c r="D544" i="17"/>
  <c r="C378" i="17"/>
  <c r="C208" i="17"/>
  <c r="D336" i="17"/>
  <c r="D361" i="17"/>
  <c r="D489" i="17"/>
  <c r="D573" i="17"/>
  <c r="D221" i="17"/>
  <c r="C506" i="17"/>
  <c r="D75" i="17"/>
  <c r="C585" i="17"/>
  <c r="C408" i="17"/>
  <c r="D599" i="17"/>
  <c r="D547" i="17"/>
  <c r="C442" i="17"/>
  <c r="C317" i="17"/>
  <c r="D189" i="17"/>
  <c r="C609" i="17"/>
  <c r="D527" i="17"/>
  <c r="C443" i="17"/>
  <c r="D473" i="17"/>
  <c r="D409" i="17"/>
  <c r="D345" i="17"/>
  <c r="D384" i="17"/>
  <c r="D320" i="17"/>
  <c r="C256" i="17"/>
  <c r="C192" i="17"/>
  <c r="C128" i="17"/>
  <c r="C269" i="17"/>
  <c r="C205" i="17"/>
  <c r="C141" i="17"/>
  <c r="C46" i="17"/>
  <c r="C110" i="17"/>
  <c r="C61" i="17"/>
  <c r="D95" i="17"/>
  <c r="D31" i="17"/>
  <c r="D156" i="17"/>
  <c r="D220" i="17"/>
  <c r="C107" i="17"/>
  <c r="C43" i="17"/>
  <c r="D77" i="17"/>
  <c r="D13" i="17"/>
  <c r="D174" i="17"/>
  <c r="D238" i="17"/>
  <c r="D78" i="17"/>
  <c r="D14" i="17"/>
  <c r="C48" i="17"/>
  <c r="C139" i="17"/>
  <c r="C203" i="17"/>
  <c r="C267" i="17"/>
  <c r="C126" i="17"/>
  <c r="C190" i="17"/>
  <c r="C254" i="17"/>
  <c r="D318" i="17"/>
  <c r="D374" i="17"/>
  <c r="D406" i="17"/>
  <c r="D335" i="17"/>
  <c r="D367" i="17"/>
  <c r="D399" i="17"/>
  <c r="D431" i="17"/>
  <c r="D463" i="17"/>
  <c r="D495" i="17"/>
  <c r="C425" i="17"/>
  <c r="C457" i="17"/>
  <c r="C489" i="17"/>
  <c r="D520" i="17"/>
  <c r="D84" i="17"/>
  <c r="D52" i="17"/>
  <c r="D20" i="17"/>
  <c r="C58" i="17"/>
  <c r="C129" i="17"/>
  <c r="C193" i="17"/>
  <c r="C257" i="17"/>
  <c r="C116" i="17"/>
  <c r="C180" i="17"/>
  <c r="C244" i="17"/>
  <c r="C308" i="17"/>
  <c r="D372" i="17"/>
  <c r="D333" i="17"/>
  <c r="D397" i="17"/>
  <c r="D461" i="17"/>
  <c r="C423" i="17"/>
  <c r="C487" i="17"/>
  <c r="C568" i="17"/>
  <c r="C545" i="17"/>
  <c r="D609" i="17"/>
  <c r="C309" i="17"/>
  <c r="D169" i="17"/>
  <c r="D233" i="17"/>
  <c r="D297" i="17"/>
  <c r="C377" i="17"/>
  <c r="C402" i="17"/>
  <c r="D428" i="17"/>
  <c r="C566" i="17"/>
  <c r="C608" i="17"/>
  <c r="C559" i="17"/>
  <c r="D610" i="17"/>
  <c r="D536" i="17"/>
  <c r="D446" i="17"/>
  <c r="D47" i="17"/>
  <c r="D603" i="17"/>
  <c r="D423" i="17"/>
  <c r="D510" i="17"/>
  <c r="C316" i="17"/>
  <c r="C318" i="17"/>
  <c r="C177" i="17"/>
  <c r="C59" i="17"/>
  <c r="D567" i="17"/>
  <c r="D602" i="17"/>
  <c r="C452" i="17"/>
  <c r="C303" i="17"/>
  <c r="C510" i="17"/>
  <c r="C523" i="17"/>
  <c r="D356" i="17"/>
  <c r="D487" i="17"/>
  <c r="D30" i="17"/>
  <c r="C221" i="17"/>
  <c r="D578" i="17"/>
  <c r="C525" i="17"/>
  <c r="C500" i="17"/>
  <c r="C537" i="17"/>
  <c r="D482" i="17"/>
  <c r="C348" i="17"/>
  <c r="D195" i="17"/>
  <c r="D533" i="17"/>
  <c r="D504" i="17"/>
  <c r="C350" i="17"/>
  <c r="C291" i="17"/>
  <c r="D217" i="17"/>
  <c r="D445" i="17"/>
  <c r="C241" i="17"/>
  <c r="C481" i="17"/>
  <c r="D327" i="17"/>
  <c r="C187" i="17"/>
  <c r="D93" i="17"/>
  <c r="C94" i="17"/>
  <c r="D393" i="17"/>
  <c r="C602" i="17"/>
  <c r="D583" i="17"/>
  <c r="C554" i="17"/>
  <c r="D486" i="17"/>
  <c r="D422" i="17"/>
  <c r="C460" i="17"/>
  <c r="C536" i="17"/>
  <c r="D458" i="17"/>
  <c r="C528" i="17"/>
  <c r="C464" i="17"/>
  <c r="C396" i="17"/>
  <c r="C371" i="17"/>
  <c r="D243" i="17"/>
  <c r="D115" i="17"/>
  <c r="C555" i="17"/>
  <c r="C604" i="17"/>
  <c r="C558" i="17"/>
  <c r="D424" i="17"/>
  <c r="C398" i="17"/>
  <c r="C373" i="17"/>
  <c r="D279" i="17"/>
  <c r="C538" i="17"/>
  <c r="D313" i="17"/>
  <c r="C605" i="17"/>
  <c r="C439" i="17"/>
  <c r="D388" i="17"/>
  <c r="C132" i="17"/>
  <c r="C42" i="17"/>
  <c r="D528" i="17"/>
  <c r="D503" i="17"/>
  <c r="D375" i="17"/>
  <c r="D334" i="17"/>
  <c r="D282" i="17"/>
  <c r="C96" i="17"/>
  <c r="D126" i="17"/>
  <c r="D236" i="17"/>
  <c r="C45" i="17"/>
  <c r="C189" i="17"/>
  <c r="C304" i="17"/>
  <c r="D157" i="17"/>
  <c r="C272" i="17"/>
  <c r="D425" i="17"/>
  <c r="C297" i="17"/>
  <c r="D577" i="17"/>
  <c r="C275" i="17"/>
  <c r="C548" i="17"/>
  <c r="C417" i="17"/>
  <c r="D125" i="17"/>
  <c r="C507" i="17"/>
  <c r="D441" i="17"/>
  <c r="D416" i="17"/>
  <c r="C288" i="17"/>
  <c r="C160" i="17"/>
  <c r="C237" i="17"/>
  <c r="C14" i="17"/>
  <c r="C93" i="17"/>
  <c r="D63" i="17"/>
  <c r="D188" i="17"/>
  <c r="C75" i="17"/>
  <c r="D45" i="17"/>
  <c r="D206" i="17"/>
  <c r="D46" i="17"/>
  <c r="C16" i="17"/>
  <c r="C235" i="17"/>
  <c r="C158" i="17"/>
  <c r="C286" i="17"/>
  <c r="D390" i="17"/>
  <c r="D351" i="17"/>
  <c r="D415" i="17"/>
  <c r="D479" i="17"/>
  <c r="C441" i="17"/>
  <c r="C505" i="17"/>
  <c r="D68" i="17"/>
  <c r="C90" i="17"/>
  <c r="C161" i="17"/>
  <c r="D288" i="17"/>
  <c r="C212" i="17"/>
  <c r="D340" i="17"/>
  <c r="D365" i="17"/>
  <c r="D493" i="17"/>
  <c r="C520" i="17"/>
  <c r="C577" i="17"/>
  <c r="D137" i="17"/>
  <c r="D265" i="17"/>
  <c r="C338" i="17"/>
  <c r="D492" i="17"/>
  <c r="D521" i="17"/>
  <c r="D119" i="17"/>
  <c r="D247" i="17"/>
  <c r="C375" i="17"/>
  <c r="C400" i="17"/>
  <c r="C544" i="17"/>
  <c r="C365" i="17"/>
  <c r="C397" i="17"/>
  <c r="C326" i="17"/>
  <c r="C358" i="17"/>
  <c r="C390" i="17"/>
  <c r="C422" i="17"/>
  <c r="C454" i="17"/>
  <c r="C486" i="17"/>
  <c r="C518" i="17"/>
  <c r="D448" i="17"/>
  <c r="D480" i="17"/>
  <c r="D512" i="17"/>
  <c r="C543" i="17"/>
  <c r="C526" i="17"/>
  <c r="D571" i="17"/>
  <c r="D564" i="17"/>
  <c r="C596" i="17"/>
  <c r="D608" i="17"/>
  <c r="C572" i="17"/>
  <c r="D541" i="17"/>
  <c r="C547" i="17"/>
  <c r="C579" i="17"/>
  <c r="D611" i="17"/>
  <c r="C279" i="17"/>
  <c r="C311" i="17"/>
  <c r="D139" i="17"/>
  <c r="D171" i="17"/>
  <c r="D203" i="17"/>
  <c r="D235" i="17"/>
  <c r="D267" i="17"/>
  <c r="D299" i="17"/>
  <c r="C331" i="17"/>
  <c r="C363" i="17"/>
  <c r="C395" i="17"/>
  <c r="C324" i="17"/>
  <c r="C356" i="17"/>
  <c r="C388" i="17"/>
  <c r="D127" i="17"/>
  <c r="D348" i="17"/>
  <c r="D342" i="17"/>
  <c r="C310" i="17"/>
  <c r="C278" i="17"/>
  <c r="C246" i="17"/>
  <c r="C214" i="17"/>
  <c r="C182" i="17"/>
  <c r="C150" i="17"/>
  <c r="C118" i="17"/>
  <c r="D290" i="17"/>
  <c r="C259" i="17"/>
  <c r="C227" i="17"/>
  <c r="C195" i="17"/>
  <c r="C163" i="17"/>
  <c r="C131" i="17"/>
  <c r="C24" i="17"/>
  <c r="C56" i="17"/>
  <c r="C88" i="17"/>
  <c r="D22" i="17"/>
  <c r="D54" i="17"/>
  <c r="D86" i="17"/>
  <c r="D262" i="17"/>
  <c r="D230" i="17"/>
  <c r="D198" i="17"/>
  <c r="D166" i="17"/>
  <c r="D134" i="17"/>
  <c r="D21" i="17"/>
  <c r="D53" i="17"/>
  <c r="D85" i="17"/>
  <c r="C19" i="17"/>
  <c r="C51" i="17"/>
  <c r="C83" i="17"/>
  <c r="D104" i="17"/>
  <c r="D244" i="17"/>
  <c r="D212" i="17"/>
  <c r="D180" i="17"/>
  <c r="D148" i="17"/>
  <c r="D116" i="17"/>
  <c r="D39" i="17"/>
  <c r="D71" i="17"/>
  <c r="D103" i="17"/>
  <c r="C37" i="17"/>
  <c r="C69" i="17"/>
  <c r="C101" i="17"/>
  <c r="C102" i="17"/>
  <c r="C70" i="17"/>
  <c r="C38" i="17"/>
  <c r="C117" i="17"/>
  <c r="C149" i="17"/>
  <c r="C181" i="17"/>
  <c r="C213" i="17"/>
  <c r="C245" i="17"/>
  <c r="D276" i="17"/>
  <c r="D308" i="17"/>
  <c r="C136" i="17"/>
  <c r="C168" i="17"/>
  <c r="C200" i="17"/>
  <c r="C232" i="17"/>
  <c r="C264" i="17"/>
  <c r="C296" i="17"/>
  <c r="D328" i="17"/>
  <c r="D360" i="17"/>
  <c r="D392" i="17"/>
  <c r="D321" i="17"/>
  <c r="D353" i="17"/>
  <c r="D385" i="17"/>
  <c r="D417" i="17"/>
  <c r="D449" i="17"/>
  <c r="D481" i="17"/>
  <c r="D513" i="17"/>
  <c r="C459" i="17"/>
  <c r="D522" i="17"/>
  <c r="D543" i="17"/>
  <c r="C581" i="17"/>
  <c r="C281" i="17"/>
  <c r="D141" i="17"/>
  <c r="D205" i="17"/>
  <c r="D269" i="17"/>
  <c r="C333" i="17"/>
  <c r="C346" i="17"/>
  <c r="C474" i="17"/>
  <c r="D500" i="17"/>
  <c r="D552" i="17"/>
  <c r="D529" i="17"/>
  <c r="C611" i="17"/>
  <c r="C319" i="17"/>
  <c r="C488" i="17"/>
  <c r="C482" i="17"/>
  <c r="D501" i="17"/>
  <c r="C151" i="17"/>
  <c r="D331" i="17"/>
  <c r="D159" i="17"/>
  <c r="D287" i="17"/>
  <c r="C415" i="17"/>
  <c r="C440" i="17"/>
  <c r="C504" i="17"/>
  <c r="D560" i="17"/>
  <c r="C450" i="17"/>
  <c r="D526" i="17"/>
  <c r="C156" i="17"/>
  <c r="C202" i="17"/>
  <c r="D507" i="17"/>
  <c r="D199" i="17"/>
  <c r="D508" i="17"/>
  <c r="D295" i="17"/>
  <c r="C337" i="17"/>
  <c r="C285" i="17"/>
  <c r="C463" i="17"/>
  <c r="D412" i="17"/>
  <c r="C233" i="17"/>
  <c r="D483" i="17"/>
  <c r="D278" i="17"/>
  <c r="D136" i="17"/>
  <c r="D302" i="17"/>
  <c r="D225" i="17"/>
  <c r="D427" i="17"/>
  <c r="D296" i="17"/>
  <c r="C82" i="17"/>
  <c r="C445" i="17"/>
  <c r="D394" i="17"/>
  <c r="C138" i="17"/>
  <c r="C68" i="17"/>
  <c r="D264" i="17"/>
  <c r="C613" i="17"/>
  <c r="D354" i="17"/>
  <c r="D256" i="17"/>
  <c r="C127" i="17"/>
  <c r="C23" i="17"/>
  <c r="D96" i="17"/>
  <c r="D515" i="17"/>
  <c r="D387" i="17"/>
  <c r="D362" i="17"/>
  <c r="C234" i="17"/>
  <c r="D310" i="17"/>
  <c r="C183" i="17"/>
  <c r="D34" i="17"/>
  <c r="D33" i="17"/>
  <c r="D200" i="17"/>
  <c r="C81" i="17"/>
  <c r="C447" i="17"/>
  <c r="D532" i="17"/>
  <c r="C226" i="17"/>
  <c r="D106" i="17"/>
  <c r="D128" i="17"/>
  <c r="C485" i="17"/>
  <c r="D226" i="17"/>
  <c r="D312" i="17"/>
  <c r="C514" i="17"/>
  <c r="D389" i="17"/>
  <c r="C100" i="17"/>
  <c r="D250" i="17"/>
  <c r="D122" i="17"/>
  <c r="C31" i="17"/>
  <c r="D232" i="17"/>
  <c r="D19" i="17"/>
  <c r="C49" i="17"/>
  <c r="C539" i="17"/>
  <c r="D531" i="17"/>
  <c r="C268" i="17"/>
  <c r="D40" i="17"/>
  <c r="D443" i="17"/>
  <c r="C290" i="17"/>
  <c r="C239" i="17"/>
  <c r="D42" i="17"/>
  <c r="D41" i="17"/>
  <c r="D192" i="17"/>
  <c r="C89" i="17"/>
  <c r="D581" i="17"/>
  <c r="D24" i="17"/>
  <c r="C306" i="17"/>
  <c r="D26" i="17"/>
  <c r="D208" i="17"/>
  <c r="D517" i="17"/>
  <c r="C210" i="17"/>
  <c r="D112" i="17"/>
  <c r="C223" i="17"/>
  <c r="C28" i="17"/>
  <c r="C453" i="17"/>
  <c r="C87" i="17"/>
  <c r="D161" i="17"/>
  <c r="D58" i="17"/>
  <c r="D56" i="17"/>
  <c r="C41" i="17"/>
  <c r="D130" i="17"/>
  <c r="D286" i="17"/>
  <c r="D491" i="17"/>
  <c r="D364" i="17"/>
  <c r="C307" i="17"/>
  <c r="D144" i="17"/>
  <c r="D89" i="17"/>
  <c r="D90" i="17"/>
  <c r="C191" i="17"/>
  <c r="C242" i="17"/>
  <c r="D395" i="17"/>
  <c r="D88" i="17"/>
  <c r="C172" i="17"/>
  <c r="C479" i="17"/>
  <c r="C361" i="17"/>
  <c r="C623" i="17"/>
  <c r="D91" i="17"/>
  <c r="D160" i="17"/>
  <c r="C103" i="17"/>
  <c r="D73" i="17"/>
  <c r="D178" i="17"/>
  <c r="D74" i="17"/>
  <c r="C44" i="17"/>
  <c r="C207" i="17"/>
  <c r="C130" i="17"/>
  <c r="C258" i="17"/>
  <c r="D386" i="17"/>
  <c r="D411" i="17"/>
  <c r="C437" i="17"/>
  <c r="D72" i="17"/>
  <c r="C153" i="17"/>
  <c r="C204" i="17"/>
  <c r="D357" i="17"/>
  <c r="C511" i="17"/>
  <c r="D129" i="17"/>
  <c r="C386" i="17"/>
  <c r="C384" i="17"/>
  <c r="C65" i="17"/>
  <c r="D99" i="17"/>
  <c r="D35" i="17"/>
  <c r="D152" i="17"/>
  <c r="D216" i="17"/>
  <c r="D100" i="17"/>
  <c r="C47" i="17"/>
  <c r="D81" i="17"/>
  <c r="D17" i="17"/>
  <c r="D170" i="17"/>
  <c r="D234" i="17"/>
  <c r="D82" i="17"/>
  <c r="D18" i="17"/>
  <c r="C52" i="17"/>
  <c r="C135" i="17"/>
  <c r="C199" i="17"/>
  <c r="C263" i="17"/>
  <c r="C122" i="17"/>
  <c r="C186" i="17"/>
  <c r="C250" i="17"/>
  <c r="C314" i="17"/>
  <c r="D378" i="17"/>
  <c r="D339" i="17"/>
  <c r="D403" i="17"/>
  <c r="D467" i="17"/>
  <c r="C429" i="17"/>
  <c r="C493" i="17"/>
  <c r="D80" i="17"/>
  <c r="D16" i="17"/>
  <c r="C137" i="17"/>
  <c r="C265" i="17"/>
  <c r="C188" i="17"/>
  <c r="D316" i="17"/>
  <c r="D341" i="17"/>
  <c r="D469" i="17"/>
  <c r="C495" i="17"/>
  <c r="C553" i="17"/>
  <c r="D113" i="17"/>
  <c r="D241" i="17"/>
  <c r="C322" i="17"/>
  <c r="C564" i="17"/>
  <c r="C320" i="17"/>
  <c r="C418" i="17"/>
  <c r="C522" i="17"/>
  <c r="C575" i="17"/>
  <c r="D263" i="17"/>
  <c r="C416" i="17"/>
  <c r="C578" i="17"/>
  <c r="C456" i="17"/>
  <c r="C392" i="17"/>
  <c r="C328" i="17"/>
  <c r="C367" i="17"/>
  <c r="D303" i="17"/>
  <c r="D239" i="17"/>
  <c r="D175" i="17"/>
  <c r="D111" i="17"/>
  <c r="C632" i="17"/>
  <c r="C551" i="17"/>
  <c r="C580" i="17"/>
  <c r="C600" i="17"/>
  <c r="D579" i="17"/>
  <c r="C550" i="17"/>
  <c r="D484" i="17"/>
  <c r="D420" i="17"/>
  <c r="C458" i="17"/>
  <c r="C394" i="17"/>
  <c r="C330" i="17"/>
  <c r="C369" i="17"/>
  <c r="C325" i="17"/>
  <c r="D293" i="17"/>
  <c r="D261" i="17"/>
  <c r="D229" i="17"/>
  <c r="D197" i="17"/>
  <c r="D165" i="17"/>
  <c r="D133" i="17"/>
  <c r="C305" i="17"/>
  <c r="C273" i="17"/>
  <c r="D605" i="17"/>
  <c r="C573" i="17"/>
  <c r="D589" i="17"/>
  <c r="D535" i="17"/>
  <c r="C560" i="17"/>
  <c r="C515" i="17"/>
  <c r="C483" i="17"/>
  <c r="C451" i="17"/>
  <c r="D231" i="17"/>
  <c r="D555" i="17"/>
  <c r="C368" i="17"/>
  <c r="D558" i="17"/>
  <c r="C370" i="17"/>
  <c r="C144" i="17"/>
  <c r="D506" i="17"/>
  <c r="C556" i="17"/>
  <c r="D153" i="17"/>
  <c r="D398" i="17"/>
  <c r="C419" i="17"/>
  <c r="D478" i="17"/>
  <c r="D442" i="17"/>
  <c r="C355" i="17"/>
  <c r="D588" i="17"/>
  <c r="C357" i="17"/>
  <c r="C593" i="17"/>
  <c r="C74" i="17"/>
  <c r="C302" i="17"/>
  <c r="D204" i="17"/>
  <c r="D285" i="17"/>
  <c r="C540" i="17"/>
  <c r="D462" i="17"/>
  <c r="D590" i="17"/>
  <c r="C512" i="17"/>
  <c r="C436" i="17"/>
  <c r="C323" i="17"/>
  <c r="C271" i="17"/>
  <c r="D556" i="17"/>
  <c r="C478" i="17"/>
  <c r="D466" i="17"/>
  <c r="C498" i="17"/>
  <c r="D565" i="17"/>
  <c r="C292" i="17"/>
  <c r="D28" i="17"/>
  <c r="D455" i="17"/>
  <c r="C238" i="17"/>
  <c r="D140" i="17"/>
  <c r="C531" i="17"/>
  <c r="C532" i="17"/>
  <c r="D454" i="17"/>
  <c r="D574" i="17"/>
  <c r="A622" i="17"/>
  <c r="C428" i="17"/>
  <c r="D307" i="17"/>
  <c r="C599" i="17"/>
  <c r="D587" i="17"/>
  <c r="C462" i="17"/>
  <c r="C432" i="17"/>
  <c r="C434" i="17"/>
  <c r="D523" i="17"/>
  <c r="C260" i="17"/>
  <c r="D44" i="17"/>
  <c r="D439" i="17"/>
  <c r="C206" i="17"/>
  <c r="D254" i="17"/>
  <c r="D15" i="17"/>
  <c r="C112" i="17"/>
  <c r="C383" i="17"/>
  <c r="C475" i="17"/>
  <c r="D355" i="17"/>
  <c r="D468" i="17"/>
  <c r="C565" i="17"/>
  <c r="D377" i="17"/>
  <c r="C224" i="17"/>
  <c r="C173" i="17"/>
  <c r="C29" i="17"/>
  <c r="D252" i="17"/>
  <c r="D142" i="17"/>
  <c r="C80" i="17"/>
  <c r="D298" i="17"/>
  <c r="D350" i="17"/>
  <c r="D383" i="17"/>
  <c r="D511" i="17"/>
  <c r="D540" i="17"/>
  <c r="C26" i="17"/>
  <c r="C148" i="17"/>
  <c r="D404" i="17"/>
  <c r="C455" i="17"/>
  <c r="C277" i="17"/>
  <c r="C329" i="17"/>
  <c r="D595" i="17"/>
  <c r="D183" i="17"/>
  <c r="C336" i="17"/>
  <c r="C349" i="17"/>
  <c r="C413" i="17"/>
  <c r="C374" i="17"/>
  <c r="C438" i="17"/>
  <c r="C502" i="17"/>
  <c r="D464" i="17"/>
  <c r="C527" i="17"/>
  <c r="C542" i="17"/>
  <c r="D580" i="17"/>
  <c r="D542" i="17"/>
  <c r="D569" i="17"/>
  <c r="C595" i="17"/>
  <c r="C295" i="17"/>
  <c r="D155" i="17"/>
  <c r="D219" i="17"/>
  <c r="D283" i="17"/>
  <c r="C347" i="17"/>
  <c r="C411" i="17"/>
  <c r="C372" i="17"/>
  <c r="D550" i="17"/>
  <c r="D326" i="17"/>
  <c r="C262" i="17"/>
  <c r="C198" i="17"/>
  <c r="C134" i="17"/>
  <c r="D274" i="17"/>
  <c r="C211" i="17"/>
  <c r="C147" i="17"/>
  <c r="C40" i="17"/>
  <c r="C104" i="17"/>
  <c r="D70" i="17"/>
  <c r="D246" i="17"/>
  <c r="D182" i="17"/>
  <c r="D118" i="17"/>
  <c r="D69" i="17"/>
  <c r="C35" i="17"/>
  <c r="C99" i="17"/>
  <c r="D228" i="17"/>
  <c r="D164" i="17"/>
  <c r="D23" i="17"/>
  <c r="D87" i="17"/>
  <c r="C53" i="17"/>
  <c r="C626" i="17"/>
  <c r="C54" i="17"/>
  <c r="C133" i="17"/>
  <c r="C197" i="17"/>
  <c r="C261" i="17"/>
  <c r="C120" i="17"/>
  <c r="C184" i="17"/>
  <c r="C248" i="17"/>
  <c r="C312" i="17"/>
  <c r="D376" i="17"/>
  <c r="D337" i="17"/>
  <c r="D401" i="17"/>
  <c r="D465" i="17"/>
  <c r="C427" i="17"/>
  <c r="C576" i="17"/>
  <c r="D613" i="17"/>
  <c r="D173" i="17"/>
  <c r="D301" i="17"/>
  <c r="C410" i="17"/>
  <c r="C582" i="17"/>
  <c r="C567" i="17"/>
  <c r="C344" i="17"/>
  <c r="D273" i="17"/>
  <c r="D146" i="17"/>
  <c r="D223" i="17"/>
  <c r="C376" i="17"/>
  <c r="C327" i="17"/>
  <c r="D145" i="17"/>
  <c r="C509" i="17"/>
  <c r="D363" i="17"/>
  <c r="C354" i="17"/>
  <c r="D209" i="17"/>
  <c r="D437" i="17"/>
  <c r="D32" i="17"/>
  <c r="D98" i="17"/>
  <c r="C25" i="17"/>
  <c r="C220" i="17"/>
  <c r="D64" i="17"/>
  <c r="C266" i="17"/>
  <c r="D154" i="17"/>
  <c r="C34" i="17"/>
  <c r="C249" i="17"/>
  <c r="C185" i="17"/>
  <c r="D451" i="17"/>
  <c r="C298" i="17"/>
  <c r="C247" i="17"/>
  <c r="D218" i="17"/>
  <c r="D51" i="17"/>
  <c r="C140" i="17"/>
  <c r="C175" i="17"/>
  <c r="D453" i="17"/>
  <c r="D43" i="17"/>
  <c r="D57" i="17"/>
  <c r="D66" i="17"/>
  <c r="D65" i="17"/>
  <c r="D168" i="17"/>
  <c r="D626" i="17"/>
  <c r="D421" i="17"/>
  <c r="C469" i="17"/>
  <c r="C162" i="17"/>
  <c r="D210" i="17"/>
  <c r="D59" i="17"/>
  <c r="C300" i="17"/>
  <c r="C255" i="17"/>
  <c r="C73" i="17"/>
  <c r="D258" i="17"/>
  <c r="C105" i="17"/>
  <c r="C146" i="17"/>
  <c r="D176" i="17"/>
  <c r="C552" i="17"/>
  <c r="C92" i="17"/>
  <c r="C66" i="17"/>
  <c r="D107" i="17"/>
  <c r="D162" i="17"/>
  <c r="C114" i="17"/>
  <c r="C421" i="17"/>
  <c r="D325" i="17"/>
  <c r="C359" i="17"/>
  <c r="D27" i="17"/>
  <c r="C39" i="17"/>
  <c r="D242" i="17"/>
  <c r="C143" i="17"/>
  <c r="C194" i="17"/>
  <c r="D347" i="17"/>
  <c r="C501" i="17"/>
  <c r="D280" i="17"/>
  <c r="D485" i="17"/>
  <c r="D257" i="17"/>
  <c r="C97" i="17"/>
  <c r="D67" i="17"/>
  <c r="D184" i="17"/>
  <c r="C79" i="17"/>
  <c r="D49" i="17"/>
  <c r="D202" i="17"/>
  <c r="D50" i="17"/>
  <c r="C20" i="17"/>
  <c r="C231" i="17"/>
  <c r="C154" i="17"/>
  <c r="C282" i="17"/>
  <c r="D410" i="17"/>
  <c r="D435" i="17"/>
  <c r="C461" i="17"/>
  <c r="D48" i="17"/>
  <c r="C201" i="17"/>
  <c r="C252" i="17"/>
  <c r="D405" i="17"/>
  <c r="C584" i="17"/>
  <c r="D177" i="17"/>
  <c r="D476" i="17"/>
  <c r="C393" i="17"/>
  <c r="D604" i="17"/>
  <c r="C391" i="17"/>
  <c r="D434" i="17"/>
  <c r="C360" i="17"/>
  <c r="C335" i="17"/>
  <c r="D207" i="17"/>
  <c r="C283" i="17"/>
  <c r="D545" i="17"/>
  <c r="D568" i="17"/>
  <c r="D516" i="17"/>
  <c r="C490" i="17"/>
  <c r="C362" i="17"/>
  <c r="C341" i="17"/>
  <c r="D277" i="17"/>
  <c r="D213" i="17"/>
  <c r="D149" i="17"/>
  <c r="C289" i="17"/>
  <c r="C589" i="17"/>
  <c r="D557" i="17"/>
  <c r="D530" i="17"/>
  <c r="C467" i="17"/>
  <c r="D94" i="17"/>
  <c r="D284" i="17"/>
  <c r="D570" i="17"/>
  <c r="D518" i="17"/>
  <c r="C492" i="17"/>
  <c r="C521" i="17"/>
  <c r="D450" i="17"/>
  <c r="C332" i="17"/>
  <c r="D179" i="17"/>
  <c r="C588" i="17"/>
  <c r="D488" i="17"/>
  <c r="C334" i="17"/>
  <c r="C591" i="17"/>
  <c r="D185" i="17"/>
  <c r="D413" i="17"/>
  <c r="C209" i="17"/>
  <c r="C465" i="17"/>
  <c r="D414" i="17"/>
  <c r="C155" i="17"/>
  <c r="C27" i="17"/>
  <c r="C62" i="17"/>
  <c r="D457" i="17"/>
  <c r="D400" i="17"/>
  <c r="C353" i="17"/>
  <c r="D255" i="17"/>
  <c r="D253" i="17"/>
  <c r="D505" i="17"/>
  <c r="D352" i="17"/>
  <c r="D300" i="17"/>
  <c r="C78" i="17"/>
  <c r="D124" i="17"/>
  <c r="D109" i="17"/>
  <c r="D110" i="17"/>
  <c r="C171" i="17"/>
  <c r="C222" i="17"/>
  <c r="D319" i="17"/>
  <c r="D447" i="17"/>
  <c r="C473" i="17"/>
  <c r="D36" i="17"/>
  <c r="C225" i="17"/>
  <c r="C276" i="17"/>
  <c r="D429" i="17"/>
  <c r="D539" i="17"/>
  <c r="D201" i="17"/>
  <c r="C466" i="17"/>
  <c r="C603" i="17"/>
  <c r="D311" i="17"/>
  <c r="C472" i="17"/>
  <c r="C381" i="17"/>
  <c r="C342" i="17"/>
  <c r="C406" i="17"/>
  <c r="C470" i="17"/>
  <c r="D432" i="17"/>
  <c r="D496" i="17"/>
  <c r="C574" i="17"/>
  <c r="D548" i="17"/>
  <c r="C612" i="17"/>
  <c r="D525" i="17"/>
  <c r="C563" i="17"/>
  <c r="C607" i="17"/>
  <c r="D123" i="17"/>
  <c r="D187" i="17"/>
  <c r="D251" i="17"/>
  <c r="C315" i="17"/>
  <c r="C379" i="17"/>
  <c r="C340" i="17"/>
  <c r="D584" i="17"/>
  <c r="D358" i="17"/>
  <c r="C294" i="17"/>
  <c r="C230" i="17"/>
  <c r="C166" i="17"/>
  <c r="D306" i="17"/>
  <c r="C243" i="17"/>
  <c r="C179" i="17"/>
  <c r="C115" i="17"/>
  <c r="C72" i="17"/>
  <c r="D38" i="17"/>
  <c r="D102" i="17"/>
  <c r="D214" i="17"/>
  <c r="D150" i="17"/>
  <c r="D37" i="17"/>
  <c r="D101" i="17"/>
  <c r="C67" i="17"/>
  <c r="D260" i="17"/>
  <c r="D196" i="17"/>
  <c r="D132" i="17"/>
  <c r="D55" i="17"/>
  <c r="C21" i="17"/>
  <c r="C85" i="17"/>
  <c r="C86" i="17"/>
  <c r="C22" i="17"/>
  <c r="C165" i="17"/>
  <c r="C229" i="17"/>
  <c r="D292" i="17"/>
  <c r="C152" i="17"/>
  <c r="C216" i="17"/>
  <c r="C280" i="17"/>
  <c r="D344" i="17"/>
  <c r="D408" i="17"/>
  <c r="D369" i="17"/>
  <c r="D433" i="17"/>
  <c r="D497" i="17"/>
  <c r="C491" i="17"/>
  <c r="C549" i="17"/>
  <c r="C313" i="17"/>
  <c r="D237" i="17"/>
  <c r="C385" i="17"/>
  <c r="D436" i="17"/>
  <c r="D596" i="17"/>
  <c r="D191" i="17"/>
  <c r="C352" i="17"/>
  <c r="C18" i="17"/>
  <c r="C299" i="17"/>
  <c r="C351" i="17"/>
  <c r="D498" i="17"/>
  <c r="C448" i="17"/>
  <c r="D373" i="17"/>
  <c r="D97" i="17"/>
  <c r="D537" i="17"/>
  <c r="D563" i="17"/>
  <c r="D549" i="17"/>
  <c r="C284" i="17"/>
  <c r="D330" i="17"/>
  <c r="D396" i="17"/>
  <c r="C55" i="17"/>
  <c r="C169" i="17"/>
  <c r="D419" i="17"/>
  <c r="C215" i="17"/>
  <c r="C17" i="17"/>
  <c r="C76" i="17"/>
  <c r="D289" i="17"/>
  <c r="C477" i="17"/>
  <c r="D323" i="17"/>
  <c r="C170" i="17"/>
  <c r="C119" i="17"/>
  <c r="C63" i="17"/>
  <c r="C321" i="17"/>
  <c r="D379" i="17"/>
  <c r="D105" i="17"/>
  <c r="C178" i="17"/>
  <c r="C159" i="17"/>
  <c r="C36" i="17"/>
  <c r="D186" i="17"/>
  <c r="C95" i="17"/>
  <c r="D83" i="17"/>
  <c r="D193" i="17"/>
  <c r="C217" i="17"/>
  <c r="D315" i="17"/>
  <c r="C111" i="17"/>
  <c r="C71" i="17"/>
  <c r="D592" i="17"/>
  <c r="D459" i="17"/>
  <c r="D25" i="17"/>
  <c r="C517" i="17"/>
  <c r="C236" i="17"/>
  <c r="C529" i="17"/>
  <c r="D402" i="17"/>
  <c r="C274" i="17"/>
  <c r="D240" i="17"/>
  <c r="D338" i="17"/>
  <c r="D601" i="17"/>
  <c r="D108" i="17"/>
  <c r="C60" i="17"/>
  <c r="D370" i="17"/>
  <c r="C121" i="17"/>
  <c r="C301" i="17"/>
  <c r="C57" i="17"/>
  <c r="D224" i="17"/>
  <c r="D114" i="17"/>
  <c r="C108" i="17"/>
  <c r="D270" i="17"/>
  <c r="D322" i="17"/>
  <c r="D475" i="17"/>
  <c r="C98" i="17"/>
  <c r="D332" i="17"/>
  <c r="C569" i="17"/>
  <c r="D593" i="17"/>
  <c r="C33" i="17"/>
  <c r="D120" i="17"/>
  <c r="D248" i="17"/>
  <c r="C15" i="17"/>
  <c r="D138" i="17"/>
  <c r="D266" i="17"/>
  <c r="C84" i="17"/>
  <c r="C167" i="17"/>
  <c r="D294" i="17"/>
  <c r="C218" i="17"/>
  <c r="D346" i="17"/>
  <c r="D371" i="17"/>
  <c r="D499" i="17"/>
  <c r="D524" i="17"/>
  <c r="C50" i="17"/>
  <c r="C124" i="17"/>
  <c r="D380" i="17"/>
  <c r="C431" i="17"/>
  <c r="C597" i="17"/>
  <c r="D305" i="17"/>
  <c r="D167" i="17"/>
  <c r="D444" i="17"/>
  <c r="D135" i="17"/>
  <c r="D623" i="17"/>
  <c r="C424" i="17"/>
  <c r="C399" i="17"/>
  <c r="D271" i="17"/>
  <c r="D143" i="17"/>
  <c r="C583" i="17"/>
  <c r="D612" i="17"/>
  <c r="C530" i="17"/>
  <c r="D452" i="17"/>
  <c r="C426" i="17"/>
  <c r="C401" i="17"/>
  <c r="D309" i="17"/>
  <c r="D245" i="17"/>
  <c r="D181" i="17"/>
  <c r="D117" i="17"/>
  <c r="C601" i="17"/>
  <c r="C557" i="17"/>
  <c r="C592" i="17"/>
  <c r="C499" i="17"/>
  <c r="C435" i="17"/>
  <c r="S16" i="8"/>
  <c r="B434" i="2" s="1"/>
  <c r="B295" i="2" l="1"/>
  <c r="B296" i="2"/>
  <c r="R26" i="8" s="1"/>
  <c r="S26" i="8" s="1"/>
  <c r="Q622" i="17"/>
  <c r="P622" i="17"/>
  <c r="O622" i="17"/>
  <c r="R622" i="17"/>
  <c r="M3" i="8"/>
  <c r="M159" i="8" s="1"/>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R24" i="8"/>
  <c r="B429" i="2"/>
  <c r="G622" i="17"/>
  <c r="H622" i="17"/>
  <c r="F622" i="17"/>
  <c r="E622" i="17"/>
  <c r="D622" i="17"/>
  <c r="C622" i="17"/>
  <c r="G4" i="8"/>
  <c r="S24" i="8" l="1"/>
  <c r="R25" i="8"/>
  <c r="N3" i="8"/>
  <c r="N159" i="8" s="1"/>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N4" i="8" s="1"/>
  <c r="J55" i="27" s="1"/>
  <c r="N55" i="27" s="1"/>
  <c r="S17" i="8"/>
  <c r="B175" i="2"/>
  <c r="C445" i="2" s="1"/>
  <c r="B435" i="2"/>
  <c r="J64" i="27" l="1"/>
  <c r="J62" i="27"/>
  <c r="J65" i="27"/>
  <c r="J60" i="27"/>
  <c r="J67" i="27"/>
  <c r="J58" i="27"/>
  <c r="J61" i="27"/>
  <c r="J63" i="27"/>
  <c r="J66" i="27"/>
  <c r="J57" i="27"/>
  <c r="J68" i="27"/>
  <c r="J59" i="27"/>
  <c r="O55" i="27"/>
  <c r="J53" i="27"/>
  <c r="N53" i="27" s="1"/>
  <c r="O53" i="27" s="1"/>
  <c r="J72" i="27"/>
  <c r="N72" i="27" s="1"/>
  <c r="J75" i="27"/>
  <c r="N75" i="27" s="1"/>
  <c r="J50" i="27"/>
  <c r="N50" i="27" s="1"/>
  <c r="J76" i="27"/>
  <c r="N76" i="27" s="1"/>
  <c r="J73" i="27"/>
  <c r="N73" i="27" s="1"/>
  <c r="J56" i="27"/>
  <c r="N56" i="27" s="1"/>
  <c r="J74" i="27"/>
  <c r="N74" i="27" s="1"/>
  <c r="J78" i="27"/>
  <c r="N78" i="27" s="1"/>
  <c r="J77" i="27"/>
  <c r="N77" i="27" s="1"/>
  <c r="J52" i="27"/>
  <c r="N52" i="27" s="1"/>
  <c r="J51" i="27"/>
  <c r="N51" i="27" s="1"/>
  <c r="J54" i="27"/>
  <c r="N54" i="27" s="1"/>
  <c r="J97" i="27"/>
  <c r="J88" i="27"/>
  <c r="J83" i="27"/>
  <c r="J25" i="27"/>
  <c r="J33" i="27"/>
  <c r="J92" i="27"/>
  <c r="J46" i="27"/>
  <c r="J43" i="27"/>
  <c r="S25" i="8"/>
  <c r="J42" i="27"/>
  <c r="J84" i="27"/>
  <c r="J89" i="27"/>
  <c r="J71" i="27"/>
  <c r="J17" i="27"/>
  <c r="J69" i="27"/>
  <c r="J87" i="27"/>
  <c r="J35" i="27"/>
  <c r="J20" i="27"/>
  <c r="J45" i="27"/>
  <c r="J93" i="27"/>
  <c r="J23" i="27"/>
  <c r="J30" i="27"/>
  <c r="J24" i="27"/>
  <c r="J13" i="27"/>
  <c r="J96" i="27"/>
  <c r="J28" i="27"/>
  <c r="J37" i="27"/>
  <c r="J22" i="27"/>
  <c r="J40" i="27"/>
  <c r="J70" i="27"/>
  <c r="J49" i="27"/>
  <c r="J79" i="27"/>
  <c r="J27" i="27"/>
  <c r="J34" i="27"/>
  <c r="J81" i="27"/>
  <c r="J47" i="27"/>
  <c r="J15" i="27"/>
  <c r="J18" i="27"/>
  <c r="J14" i="27"/>
  <c r="J26" i="27"/>
  <c r="J41" i="27"/>
  <c r="J44" i="27"/>
  <c r="J90" i="27"/>
  <c r="J80" i="27"/>
  <c r="J85" i="27"/>
  <c r="J32" i="27"/>
  <c r="J19" i="27"/>
  <c r="J21" i="27"/>
  <c r="J91" i="27"/>
  <c r="J39" i="27"/>
  <c r="J82" i="27"/>
  <c r="J94" i="27"/>
  <c r="J95" i="27"/>
  <c r="J29" i="27"/>
  <c r="J36" i="27"/>
  <c r="J48" i="27"/>
  <c r="J31" i="27"/>
  <c r="J86" i="27"/>
  <c r="J16" i="27"/>
  <c r="J38" i="27"/>
  <c r="B445" i="2"/>
  <c r="D445" i="2"/>
  <c r="B433" i="2"/>
  <c r="O72" i="27" l="1"/>
  <c r="N66" i="27"/>
  <c r="O66" i="27" s="1"/>
  <c r="O56" i="27"/>
  <c r="N59" i="27"/>
  <c r="O59" i="27" s="1"/>
  <c r="N61" i="27"/>
  <c r="O61" i="27" s="1"/>
  <c r="N65" i="27"/>
  <c r="O65" i="27" s="1"/>
  <c r="N57" i="27"/>
  <c r="O57" i="27" s="1"/>
  <c r="N63" i="27"/>
  <c r="O63" i="27" s="1"/>
  <c r="N58" i="27"/>
  <c r="O58" i="27" s="1"/>
  <c r="N67" i="27"/>
  <c r="O67" i="27" s="1"/>
  <c r="N62" i="27"/>
  <c r="O62" i="27" s="1"/>
  <c r="N68" i="27"/>
  <c r="O68" i="27" s="1"/>
  <c r="N60" i="27"/>
  <c r="O60" i="27" s="1"/>
  <c r="N64" i="27"/>
  <c r="O64" i="27" s="1"/>
  <c r="O75" i="27"/>
  <c r="O76" i="27"/>
  <c r="O51" i="27"/>
  <c r="O74" i="27"/>
  <c r="O50" i="27"/>
  <c r="O78" i="27"/>
  <c r="O77" i="27"/>
  <c r="O54" i="27"/>
  <c r="O52" i="27"/>
  <c r="O73" i="27"/>
  <c r="N39" i="27"/>
  <c r="O39" i="27" s="1"/>
  <c r="N41" i="27"/>
  <c r="O41" i="27" s="1"/>
  <c r="N15" i="27"/>
  <c r="O15" i="27" s="1"/>
  <c r="N34" i="27"/>
  <c r="O34" i="27" s="1"/>
  <c r="N96" i="27"/>
  <c r="O96" i="27" s="1"/>
  <c r="N13" i="27"/>
  <c r="O13" i="27" s="1"/>
  <c r="V13" i="27" s="1"/>
  <c r="N24" i="27"/>
  <c r="O24" i="27" s="1"/>
  <c r="N23" i="27"/>
  <c r="O23" i="27" s="1"/>
  <c r="N17" i="27"/>
  <c r="O17" i="27" s="1"/>
  <c r="N43" i="27"/>
  <c r="O43" i="27" s="1"/>
  <c r="N33" i="27"/>
  <c r="O33" i="27" s="1"/>
  <c r="N88" i="27"/>
  <c r="O88" i="27" s="1"/>
  <c r="N19" i="27"/>
  <c r="O19" i="27" s="1"/>
  <c r="N85" i="27"/>
  <c r="O85" i="27" s="1"/>
  <c r="N80" i="27"/>
  <c r="O80" i="27" s="1"/>
  <c r="N26" i="27"/>
  <c r="O26" i="27" s="1"/>
  <c r="N47" i="27"/>
  <c r="O47" i="27" s="1"/>
  <c r="N22" i="27"/>
  <c r="O22" i="27" s="1"/>
  <c r="N37" i="27"/>
  <c r="O37" i="27" s="1"/>
  <c r="N28" i="27"/>
  <c r="O28" i="27" s="1"/>
  <c r="N93" i="27"/>
  <c r="O93" i="27" s="1"/>
  <c r="N20" i="27"/>
  <c r="O20" i="27" s="1"/>
  <c r="N71" i="27"/>
  <c r="O71" i="27" s="1"/>
  <c r="N89" i="27"/>
  <c r="O89" i="27" s="1"/>
  <c r="N84" i="27"/>
  <c r="O84" i="27" s="1"/>
  <c r="N90" i="27"/>
  <c r="O90" i="27" s="1"/>
  <c r="N31" i="27"/>
  <c r="O31" i="27" s="1"/>
  <c r="N48" i="27"/>
  <c r="O48" i="27" s="1"/>
  <c r="N36" i="27"/>
  <c r="O36" i="27" s="1"/>
  <c r="N21" i="27"/>
  <c r="O21" i="27" s="1"/>
  <c r="N95" i="27"/>
  <c r="O95" i="27" s="1"/>
  <c r="N94" i="27"/>
  <c r="O94" i="27" s="1"/>
  <c r="N82" i="27"/>
  <c r="O82" i="27" s="1"/>
  <c r="N18" i="27"/>
  <c r="O18" i="27" s="1"/>
  <c r="N81" i="27"/>
  <c r="O81" i="27" s="1"/>
  <c r="N27" i="27"/>
  <c r="O27" i="27" s="1"/>
  <c r="N30" i="27"/>
  <c r="O30" i="27" s="1"/>
  <c r="N45" i="27"/>
  <c r="O45" i="27" s="1"/>
  <c r="N35" i="27"/>
  <c r="O35" i="27" s="1"/>
  <c r="N46" i="27"/>
  <c r="O46" i="27" s="1"/>
  <c r="N25" i="27"/>
  <c r="O25" i="27" s="1"/>
  <c r="N97" i="27"/>
  <c r="O97" i="27" s="1"/>
  <c r="N86" i="27"/>
  <c r="O86" i="27" s="1"/>
  <c r="N32" i="27"/>
  <c r="O32" i="27" s="1"/>
  <c r="N29" i="27"/>
  <c r="O29" i="27" s="1"/>
  <c r="N91" i="27"/>
  <c r="O91" i="27" s="1"/>
  <c r="N38" i="27"/>
  <c r="O38" i="27" s="1"/>
  <c r="N16" i="27"/>
  <c r="O16" i="27" s="1"/>
  <c r="N44" i="27"/>
  <c r="O44" i="27" s="1"/>
  <c r="N14" i="27"/>
  <c r="O14" i="27" s="1"/>
  <c r="N79" i="27"/>
  <c r="O79" i="27" s="1"/>
  <c r="N49" i="27"/>
  <c r="O49" i="27" s="1"/>
  <c r="N70" i="27"/>
  <c r="O70" i="27" s="1"/>
  <c r="N40" i="27"/>
  <c r="O40" i="27" s="1"/>
  <c r="N87" i="27"/>
  <c r="O87" i="27" s="1"/>
  <c r="N69" i="27"/>
  <c r="O69" i="27" s="1"/>
  <c r="N42" i="27"/>
  <c r="O42" i="27" s="1"/>
  <c r="N92" i="27"/>
  <c r="O92" i="27" s="1"/>
  <c r="N83" i="27"/>
  <c r="O83" i="27" s="1"/>
  <c r="A433" i="2"/>
  <c r="D54" i="16"/>
  <c r="D49" i="16" l="1"/>
  <c r="A628" i="17" l="1"/>
  <c r="S622" i="17"/>
  <c r="T623" i="17"/>
  <c r="T622" i="17"/>
  <c r="AF622" i="17" s="1"/>
  <c r="S626" i="17"/>
  <c r="S623" i="17"/>
  <c r="T626" i="17"/>
  <c r="T573" i="17"/>
  <c r="B71" i="1"/>
  <c r="R7" i="8"/>
  <c r="S7" i="8" s="1"/>
  <c r="O628" i="17" l="1"/>
  <c r="P628" i="17"/>
  <c r="Q628" i="17"/>
  <c r="R628" i="17"/>
  <c r="AF626" i="17"/>
  <c r="AE623" i="17"/>
  <c r="AE626" i="17"/>
  <c r="E636" i="17" s="1"/>
  <c r="AF573" i="17"/>
  <c r="G628" i="17"/>
  <c r="H628" i="17"/>
  <c r="AE622" i="17"/>
  <c r="E632" i="17" s="1"/>
  <c r="AF623" i="17"/>
  <c r="D628" i="17"/>
  <c r="F628" i="17"/>
  <c r="T628" i="17"/>
  <c r="C628" i="17"/>
  <c r="E628" i="17"/>
  <c r="S628" i="17"/>
  <c r="R32" i="8"/>
  <c r="S32" i="8"/>
  <c r="C71" i="1" s="1"/>
  <c r="D71" i="1" s="1"/>
  <c r="S74" i="17"/>
  <c r="S121" i="17"/>
  <c r="S106" i="17"/>
  <c r="S90" i="17"/>
  <c r="S17" i="17"/>
  <c r="S81" i="17"/>
  <c r="S101" i="17"/>
  <c r="S58" i="17"/>
  <c r="S42" i="17"/>
  <c r="S26" i="17"/>
  <c r="S49" i="17"/>
  <c r="S69" i="17"/>
  <c r="S236" i="17"/>
  <c r="S300" i="17"/>
  <c r="S217" i="17"/>
  <c r="S281" i="17"/>
  <c r="S140" i="17"/>
  <c r="S70" i="17"/>
  <c r="S41" i="17"/>
  <c r="S105" i="17"/>
  <c r="S45" i="17"/>
  <c r="S77" i="17"/>
  <c r="S173" i="17"/>
  <c r="S237" i="17"/>
  <c r="S301" i="17"/>
  <c r="S160" i="17"/>
  <c r="S338" i="17"/>
  <c r="S370" i="17"/>
  <c r="S402" i="17"/>
  <c r="S172" i="17"/>
  <c r="S204" i="17"/>
  <c r="S153" i="17"/>
  <c r="S38" i="17"/>
  <c r="S73" i="17"/>
  <c r="S141" i="17"/>
  <c r="S269" i="17"/>
  <c r="S319" i="17"/>
  <c r="S383" i="17"/>
  <c r="S180" i="17"/>
  <c r="S244" i="17"/>
  <c r="S308" i="17"/>
  <c r="S339" i="17"/>
  <c r="S403" i="17"/>
  <c r="S366" i="17"/>
  <c r="S169" i="17"/>
  <c r="S233" i="17"/>
  <c r="S132" i="17"/>
  <c r="S62" i="17"/>
  <c r="S232" i="17"/>
  <c r="S296" i="17"/>
  <c r="S322" i="17"/>
  <c r="S386" i="17"/>
  <c r="S438" i="17"/>
  <c r="S65" i="17"/>
  <c r="S85" i="17"/>
  <c r="S117" i="17"/>
  <c r="S149" i="17"/>
  <c r="S181" i="17"/>
  <c r="S213" i="17"/>
  <c r="S245" i="17"/>
  <c r="S277" i="17"/>
  <c r="S309" i="17"/>
  <c r="S136" i="17"/>
  <c r="S168" i="17"/>
  <c r="S184" i="17"/>
  <c r="S248" i="17"/>
  <c r="S312" i="17"/>
  <c r="S327" i="17"/>
  <c r="S359" i="17"/>
  <c r="S391" i="17"/>
  <c r="S407" i="17"/>
  <c r="S378" i="17"/>
  <c r="S188" i="17"/>
  <c r="S252" i="17"/>
  <c r="S331" i="17"/>
  <c r="S363" i="17"/>
  <c r="S395" i="17"/>
  <c r="S411" i="17"/>
  <c r="S326" i="17"/>
  <c r="S358" i="17"/>
  <c r="S390" i="17"/>
  <c r="S454" i="17"/>
  <c r="S249" i="17"/>
  <c r="S297" i="17"/>
  <c r="S22" i="17"/>
  <c r="S86" i="17"/>
  <c r="S192" i="17"/>
  <c r="S256" i="17"/>
  <c r="S415" i="17"/>
  <c r="S462" i="17"/>
  <c r="S57" i="17"/>
  <c r="S289" i="17"/>
  <c r="S14" i="17"/>
  <c r="S78" i="17"/>
  <c r="S93" i="17"/>
  <c r="S125" i="17"/>
  <c r="S189" i="17"/>
  <c r="S253" i="17"/>
  <c r="S112" i="17"/>
  <c r="S176" i="17"/>
  <c r="S208" i="17"/>
  <c r="S272" i="17"/>
  <c r="S367" i="17"/>
  <c r="S330" i="17"/>
  <c r="S394" i="17"/>
  <c r="S228" i="17"/>
  <c r="S292" i="17"/>
  <c r="S323" i="17"/>
  <c r="S387" i="17"/>
  <c r="S350" i="17"/>
  <c r="S414" i="17"/>
  <c r="S446" i="17"/>
  <c r="S423" i="17"/>
  <c r="S487" i="17"/>
  <c r="S519" i="17"/>
  <c r="S528" i="17"/>
  <c r="S560" i="17"/>
  <c r="S606" i="17"/>
  <c r="T17" i="17"/>
  <c r="T81" i="17"/>
  <c r="T16" i="17"/>
  <c r="T80" i="17"/>
  <c r="S32" i="17"/>
  <c r="S96" i="17"/>
  <c r="S31" i="17"/>
  <c r="S95" i="17"/>
  <c r="S127" i="17"/>
  <c r="S191" i="17"/>
  <c r="S255" i="17"/>
  <c r="S114" i="17"/>
  <c r="S178" i="17"/>
  <c r="S210" i="17"/>
  <c r="S274" i="17"/>
  <c r="S369" i="17"/>
  <c r="S332" i="17"/>
  <c r="S396" i="17"/>
  <c r="S428" i="17"/>
  <c r="S492" i="17"/>
  <c r="S453" i="17"/>
  <c r="S517" i="17"/>
  <c r="S558" i="17"/>
  <c r="S571" i="17"/>
  <c r="S268" i="17"/>
  <c r="S313" i="17"/>
  <c r="S102" i="17"/>
  <c r="S109" i="17"/>
  <c r="S205" i="17"/>
  <c r="S128" i="17"/>
  <c r="S351" i="17"/>
  <c r="S212" i="17"/>
  <c r="S276" i="17"/>
  <c r="S371" i="17"/>
  <c r="S334" i="17"/>
  <c r="S398" i="17"/>
  <c r="S137" i="17"/>
  <c r="S201" i="17"/>
  <c r="S265" i="17"/>
  <c r="S305" i="17"/>
  <c r="S30" i="17"/>
  <c r="S94" i="17"/>
  <c r="S200" i="17"/>
  <c r="S264" i="17"/>
  <c r="S354" i="17"/>
  <c r="S156" i="17"/>
  <c r="S470" i="17"/>
  <c r="S33" i="17"/>
  <c r="S97" i="17"/>
  <c r="S29" i="17"/>
  <c r="S53" i="17"/>
  <c r="S133" i="17"/>
  <c r="S165" i="17"/>
  <c r="S197" i="17"/>
  <c r="S229" i="17"/>
  <c r="S261" i="17"/>
  <c r="S293" i="17"/>
  <c r="S120" i="17"/>
  <c r="S152" i="17"/>
  <c r="S216" i="17"/>
  <c r="S280" i="17"/>
  <c r="S343" i="17"/>
  <c r="S375" i="17"/>
  <c r="S346" i="17"/>
  <c r="S148" i="17"/>
  <c r="S220" i="17"/>
  <c r="S284" i="17"/>
  <c r="S315" i="17"/>
  <c r="S347" i="17"/>
  <c r="S379" i="17"/>
  <c r="S342" i="17"/>
  <c r="S374" i="17"/>
  <c r="S406" i="17"/>
  <c r="S422" i="17"/>
  <c r="S185" i="17"/>
  <c r="S124" i="17"/>
  <c r="S54" i="17"/>
  <c r="S224" i="17"/>
  <c r="S288" i="17"/>
  <c r="S430" i="17"/>
  <c r="S25" i="17"/>
  <c r="S89" i="17"/>
  <c r="S116" i="17"/>
  <c r="S46" i="17"/>
  <c r="S61" i="17"/>
  <c r="S157" i="17"/>
  <c r="S221" i="17"/>
  <c r="S285" i="17"/>
  <c r="S144" i="17"/>
  <c r="S240" i="17"/>
  <c r="S304" i="17"/>
  <c r="S335" i="17"/>
  <c r="S399" i="17"/>
  <c r="S362" i="17"/>
  <c r="S164" i="17"/>
  <c r="S196" i="17"/>
  <c r="S260" i="17"/>
  <c r="S355" i="17"/>
  <c r="S318" i="17"/>
  <c r="S382" i="17"/>
  <c r="S478" i="17"/>
  <c r="S494" i="17"/>
  <c r="S455" i="17"/>
  <c r="S592" i="17"/>
  <c r="S573" i="17"/>
  <c r="T49" i="17"/>
  <c r="T48" i="17"/>
  <c r="S64" i="17"/>
  <c r="S63" i="17"/>
  <c r="S159" i="17"/>
  <c r="S223" i="17"/>
  <c r="S287" i="17"/>
  <c r="S146" i="17"/>
  <c r="S242" i="17"/>
  <c r="S306" i="17"/>
  <c r="S337" i="17"/>
  <c r="S401" i="17"/>
  <c r="S364" i="17"/>
  <c r="S460" i="17"/>
  <c r="S421" i="17"/>
  <c r="S485" i="17"/>
  <c r="S526" i="17"/>
  <c r="S590" i="17"/>
  <c r="S604" i="17"/>
  <c r="T15" i="17"/>
  <c r="T79" i="17"/>
  <c r="T14" i="17"/>
  <c r="T78" i="17"/>
  <c r="S450" i="17"/>
  <c r="S514" i="17"/>
  <c r="S475" i="17"/>
  <c r="S76" i="17"/>
  <c r="S43" i="17"/>
  <c r="S75" i="17"/>
  <c r="S107" i="17"/>
  <c r="S139" i="17"/>
  <c r="S203" i="17"/>
  <c r="S267" i="17"/>
  <c r="S158" i="17"/>
  <c r="S440" i="17"/>
  <c r="S472" i="17"/>
  <c r="S504" i="17"/>
  <c r="S433" i="17"/>
  <c r="S465" i="17"/>
  <c r="S497" i="17"/>
  <c r="S597" i="17"/>
  <c r="T59" i="17"/>
  <c r="S431" i="17"/>
  <c r="S495" i="17"/>
  <c r="S527" i="17"/>
  <c r="S536" i="17"/>
  <c r="S568" i="17"/>
  <c r="S549" i="17"/>
  <c r="S595" i="17"/>
  <c r="T25" i="17"/>
  <c r="T89" i="17"/>
  <c r="T24" i="17"/>
  <c r="T88" i="17"/>
  <c r="S40" i="17"/>
  <c r="S104" i="17"/>
  <c r="S39" i="17"/>
  <c r="S103" i="17"/>
  <c r="S135" i="17"/>
  <c r="S199" i="17"/>
  <c r="S263" i="17"/>
  <c r="S122" i="17"/>
  <c r="S218" i="17"/>
  <c r="S282" i="17"/>
  <c r="S314" i="17"/>
  <c r="S377" i="17"/>
  <c r="S409" i="17"/>
  <c r="S340" i="17"/>
  <c r="S404" i="17"/>
  <c r="S436" i="17"/>
  <c r="S500" i="17"/>
  <c r="S461" i="17"/>
  <c r="S566" i="17"/>
  <c r="S579" i="17"/>
  <c r="T55" i="17"/>
  <c r="T54" i="17"/>
  <c r="S426" i="17"/>
  <c r="S490" i="17"/>
  <c r="S451" i="17"/>
  <c r="S588" i="17"/>
  <c r="T45" i="17"/>
  <c r="T109" i="17"/>
  <c r="S50" i="17"/>
  <c r="S177" i="17"/>
  <c r="S37" i="17"/>
  <c r="S84" i="17"/>
  <c r="S147" i="17"/>
  <c r="S211" i="17"/>
  <c r="S275" i="17"/>
  <c r="S134" i="17"/>
  <c r="S230" i="17"/>
  <c r="S294" i="17"/>
  <c r="T35" i="17"/>
  <c r="T99" i="17"/>
  <c r="T34" i="17"/>
  <c r="T100" i="17"/>
  <c r="S507" i="17"/>
  <c r="S561" i="17"/>
  <c r="T36" i="17"/>
  <c r="S52" i="17"/>
  <c r="S27" i="17"/>
  <c r="S91" i="17"/>
  <c r="S333" i="17"/>
  <c r="S397" i="17"/>
  <c r="S360" i="17"/>
  <c r="S456" i="17"/>
  <c r="S481" i="17"/>
  <c r="S522" i="17"/>
  <c r="S586" i="17"/>
  <c r="S600" i="17"/>
  <c r="S439" i="17"/>
  <c r="S503" i="17"/>
  <c r="S535" i="17"/>
  <c r="S576" i="17"/>
  <c r="S557" i="17"/>
  <c r="T33" i="17"/>
  <c r="T97" i="17"/>
  <c r="T32" i="17"/>
  <c r="S48" i="17"/>
  <c r="S47" i="17"/>
  <c r="S143" i="17"/>
  <c r="S207" i="17"/>
  <c r="S271" i="17"/>
  <c r="S130" i="17"/>
  <c r="S226" i="17"/>
  <c r="S290" i="17"/>
  <c r="S321" i="17"/>
  <c r="S385" i="17"/>
  <c r="S348" i="17"/>
  <c r="S412" i="17"/>
  <c r="S444" i="17"/>
  <c r="S508" i="17"/>
  <c r="S469" i="17"/>
  <c r="S574" i="17"/>
  <c r="S587" i="17"/>
  <c r="S601" i="17"/>
  <c r="T63" i="17"/>
  <c r="T62" i="17"/>
  <c r="S434" i="17"/>
  <c r="S498" i="17"/>
  <c r="S459" i="17"/>
  <c r="S564" i="17"/>
  <c r="T47" i="17"/>
  <c r="T46" i="17"/>
  <c r="S418" i="17"/>
  <c r="S482" i="17"/>
  <c r="S443" i="17"/>
  <c r="S532" i="17"/>
  <c r="S36" i="17"/>
  <c r="S108" i="17"/>
  <c r="S171" i="17"/>
  <c r="S235" i="17"/>
  <c r="S299" i="17"/>
  <c r="S126" i="17"/>
  <c r="S538" i="17"/>
  <c r="S570" i="17"/>
  <c r="S551" i="17"/>
  <c r="S583" i="17"/>
  <c r="T27" i="17"/>
  <c r="T91" i="17"/>
  <c r="S502" i="17"/>
  <c r="S463" i="17"/>
  <c r="S581" i="17"/>
  <c r="T57" i="17"/>
  <c r="T56" i="17"/>
  <c r="S72" i="17"/>
  <c r="S71" i="17"/>
  <c r="S167" i="17"/>
  <c r="S231" i="17"/>
  <c r="S295" i="17"/>
  <c r="S154" i="17"/>
  <c r="S186" i="17"/>
  <c r="S250" i="17"/>
  <c r="S345" i="17"/>
  <c r="S372" i="17"/>
  <c r="S468" i="17"/>
  <c r="S429" i="17"/>
  <c r="S493" i="17"/>
  <c r="S525" i="17"/>
  <c r="S534" i="17"/>
  <c r="S547" i="17"/>
  <c r="S612" i="17"/>
  <c r="T23" i="17"/>
  <c r="T87" i="17"/>
  <c r="T22" i="17"/>
  <c r="T86" i="17"/>
  <c r="S458" i="17"/>
  <c r="S419" i="17"/>
  <c r="S524" i="17"/>
  <c r="S556" i="17"/>
  <c r="T13" i="17"/>
  <c r="T77" i="17"/>
  <c r="S113" i="17"/>
  <c r="S241" i="17"/>
  <c r="S115" i="17"/>
  <c r="S179" i="17"/>
  <c r="S243" i="17"/>
  <c r="S307" i="17"/>
  <c r="S166" i="17"/>
  <c r="S198" i="17"/>
  <c r="S262" i="17"/>
  <c r="S605" i="17"/>
  <c r="T67" i="17"/>
  <c r="T66" i="17"/>
  <c r="T132" i="17"/>
  <c r="S593" i="17"/>
  <c r="T68" i="17"/>
  <c r="S20" i="17"/>
  <c r="S59" i="17"/>
  <c r="S365" i="17"/>
  <c r="S328" i="17"/>
  <c r="S392" i="17"/>
  <c r="S424" i="17"/>
  <c r="S488" i="17"/>
  <c r="S417" i="17"/>
  <c r="S449" i="17"/>
  <c r="S513" i="17"/>
  <c r="S554" i="17"/>
  <c r="S567" i="17"/>
  <c r="S510" i="17"/>
  <c r="S471" i="17"/>
  <c r="S544" i="17"/>
  <c r="S589" i="17"/>
  <c r="S603" i="17"/>
  <c r="T65" i="17"/>
  <c r="T64" i="17"/>
  <c r="S16" i="17"/>
  <c r="S80" i="17"/>
  <c r="S15" i="17"/>
  <c r="S79" i="17"/>
  <c r="S111" i="17"/>
  <c r="S175" i="17"/>
  <c r="S239" i="17"/>
  <c r="S303" i="17"/>
  <c r="S162" i="17"/>
  <c r="S194" i="17"/>
  <c r="S258" i="17"/>
  <c r="S353" i="17"/>
  <c r="S316" i="17"/>
  <c r="S380" i="17"/>
  <c r="S476" i="17"/>
  <c r="S437" i="17"/>
  <c r="S501" i="17"/>
  <c r="S533" i="17"/>
  <c r="S542" i="17"/>
  <c r="S555" i="17"/>
  <c r="T31" i="17"/>
  <c r="T95" i="17"/>
  <c r="T30" i="17"/>
  <c r="T96" i="17"/>
  <c r="S466" i="17"/>
  <c r="S427" i="17"/>
  <c r="S491" i="17"/>
  <c r="S523" i="17"/>
  <c r="S539" i="17"/>
  <c r="S548" i="17"/>
  <c r="S580" i="17"/>
  <c r="S545" i="17"/>
  <c r="S610" i="17"/>
  <c r="S607" i="17"/>
  <c r="T37" i="17"/>
  <c r="T69" i="17"/>
  <c r="T101" i="17"/>
  <c r="T20" i="17"/>
  <c r="T84" i="17"/>
  <c r="S34" i="17"/>
  <c r="S98" i="17"/>
  <c r="S161" i="17"/>
  <c r="S225" i="17"/>
  <c r="S21" i="17"/>
  <c r="S60" i="17"/>
  <c r="S19" i="17"/>
  <c r="S83" i="17"/>
  <c r="S155" i="17"/>
  <c r="S219" i="17"/>
  <c r="S283" i="17"/>
  <c r="S110" i="17"/>
  <c r="S142" i="17"/>
  <c r="S206" i="17"/>
  <c r="S238" i="17"/>
  <c r="S270" i="17"/>
  <c r="S302" i="17"/>
  <c r="S317" i="17"/>
  <c r="S381" i="17"/>
  <c r="S413" i="17"/>
  <c r="S344" i="17"/>
  <c r="S408" i="17"/>
  <c r="S480" i="17"/>
  <c r="S441" i="17"/>
  <c r="S505" i="17"/>
  <c r="S546" i="17"/>
  <c r="S559" i="17"/>
  <c r="S613" i="17"/>
  <c r="T75" i="17"/>
  <c r="T42" i="17"/>
  <c r="T74" i="17"/>
  <c r="T108" i="17"/>
  <c r="S483" i="17"/>
  <c r="S602" i="17"/>
  <c r="T76" i="17"/>
  <c r="S325" i="17"/>
  <c r="S389" i="17"/>
  <c r="S352" i="17"/>
  <c r="S416" i="17"/>
  <c r="S479" i="17"/>
  <c r="S543" i="17"/>
  <c r="S552" i="17"/>
  <c r="S598" i="17"/>
  <c r="S611" i="17"/>
  <c r="T73" i="17"/>
  <c r="T72" i="17"/>
  <c r="S24" i="17"/>
  <c r="S88" i="17"/>
  <c r="S23" i="17"/>
  <c r="S87" i="17"/>
  <c r="S119" i="17"/>
  <c r="S183" i="17"/>
  <c r="S247" i="17"/>
  <c r="S311" i="17"/>
  <c r="S170" i="17"/>
  <c r="S202" i="17"/>
  <c r="S266" i="17"/>
  <c r="S361" i="17"/>
  <c r="S324" i="17"/>
  <c r="S388" i="17"/>
  <c r="S420" i="17"/>
  <c r="S484" i="17"/>
  <c r="S445" i="17"/>
  <c r="S509" i="17"/>
  <c r="S550" i="17"/>
  <c r="S563" i="17"/>
  <c r="T39" i="17"/>
  <c r="T103" i="17"/>
  <c r="T38" i="17"/>
  <c r="S474" i="17"/>
  <c r="S435" i="17"/>
  <c r="S499" i="17"/>
  <c r="S531" i="17"/>
  <c r="S540" i="17"/>
  <c r="S572" i="17"/>
  <c r="S553" i="17"/>
  <c r="T29" i="17"/>
  <c r="T93" i="17"/>
  <c r="T28" i="17"/>
  <c r="T92" i="17"/>
  <c r="S44" i="17"/>
  <c r="S82" i="17"/>
  <c r="S209" i="17"/>
  <c r="S100" i="17"/>
  <c r="S35" i="17"/>
  <c r="S99" i="17"/>
  <c r="S131" i="17"/>
  <c r="S195" i="17"/>
  <c r="S259" i="17"/>
  <c r="S118" i="17"/>
  <c r="S214" i="17"/>
  <c r="S278" i="17"/>
  <c r="S373" i="17"/>
  <c r="S336" i="17"/>
  <c r="S400" i="17"/>
  <c r="S432" i="17"/>
  <c r="S496" i="17"/>
  <c r="S457" i="17"/>
  <c r="S562" i="17"/>
  <c r="S575" i="17"/>
  <c r="T51" i="17"/>
  <c r="T50" i="17"/>
  <c r="T116" i="17"/>
  <c r="T180" i="17"/>
  <c r="T160" i="17"/>
  <c r="T224" i="17"/>
  <c r="T288" i="17"/>
  <c r="T147" i="17"/>
  <c r="T211" i="17"/>
  <c r="T275" i="17"/>
  <c r="T372" i="17"/>
  <c r="T365" i="17"/>
  <c r="T461" i="17"/>
  <c r="T424" i="17"/>
  <c r="T488" i="17"/>
  <c r="T583" i="17"/>
  <c r="T541" i="17"/>
  <c r="T603" i="17"/>
  <c r="T94" i="17"/>
  <c r="T158" i="17"/>
  <c r="T222" i="17"/>
  <c r="T286" i="17"/>
  <c r="T145" i="17"/>
  <c r="T209" i="17"/>
  <c r="T273" i="17"/>
  <c r="T370" i="17"/>
  <c r="T363" i="17"/>
  <c r="T459" i="17"/>
  <c r="T422" i="17"/>
  <c r="T486" i="17"/>
  <c r="T549" i="17"/>
  <c r="T539" i="17"/>
  <c r="T601" i="17"/>
  <c r="S518" i="17"/>
  <c r="S577" i="17"/>
  <c r="T21" i="17"/>
  <c r="T53" i="17"/>
  <c r="T85" i="17"/>
  <c r="T52" i="17"/>
  <c r="S28" i="17"/>
  <c r="S66" i="17"/>
  <c r="S129" i="17"/>
  <c r="S193" i="17"/>
  <c r="S257" i="17"/>
  <c r="S92" i="17"/>
  <c r="S51" i="17"/>
  <c r="S123" i="17"/>
  <c r="S187" i="17"/>
  <c r="S251" i="17"/>
  <c r="S174" i="17"/>
  <c r="S190" i="17"/>
  <c r="S222" i="17"/>
  <c r="S254" i="17"/>
  <c r="S286" i="17"/>
  <c r="S349" i="17"/>
  <c r="S376" i="17"/>
  <c r="S448" i="17"/>
  <c r="S512" i="17"/>
  <c r="S473" i="17"/>
  <c r="S529" i="17"/>
  <c r="S578" i="17"/>
  <c r="S591" i="17"/>
  <c r="T43" i="17"/>
  <c r="T107" i="17"/>
  <c r="T26" i="17"/>
  <c r="T58" i="17"/>
  <c r="T90" i="17"/>
  <c r="T124" i="17"/>
  <c r="S515" i="17"/>
  <c r="S569" i="17"/>
  <c r="T44" i="17"/>
  <c r="S357" i="17"/>
  <c r="S320" i="17"/>
  <c r="S384" i="17"/>
  <c r="S537" i="17"/>
  <c r="S486" i="17"/>
  <c r="S520" i="17"/>
  <c r="S447" i="17"/>
  <c r="S511" i="17"/>
  <c r="S584" i="17"/>
  <c r="S565" i="17"/>
  <c r="T41" i="17"/>
  <c r="T105" i="17"/>
  <c r="T40" i="17"/>
  <c r="S56" i="17"/>
  <c r="S55" i="17"/>
  <c r="S151" i="17"/>
  <c r="S215" i="17"/>
  <c r="S279" i="17"/>
  <c r="S138" i="17"/>
  <c r="S234" i="17"/>
  <c r="S298" i="17"/>
  <c r="S329" i="17"/>
  <c r="S393" i="17"/>
  <c r="S356" i="17"/>
  <c r="S452" i="17"/>
  <c r="S516" i="17"/>
  <c r="S477" i="17"/>
  <c r="S541" i="17"/>
  <c r="S582" i="17"/>
  <c r="S596" i="17"/>
  <c r="S609" i="17"/>
  <c r="T71" i="17"/>
  <c r="T70" i="17"/>
  <c r="S410" i="17"/>
  <c r="S442" i="17"/>
  <c r="S506" i="17"/>
  <c r="S467" i="17"/>
  <c r="S585" i="17"/>
  <c r="S599" i="17"/>
  <c r="T61" i="17"/>
  <c r="T60" i="17"/>
  <c r="S18" i="17"/>
  <c r="S145" i="17"/>
  <c r="S273" i="17"/>
  <c r="S68" i="17"/>
  <c r="S67" i="17"/>
  <c r="S163" i="17"/>
  <c r="S227" i="17"/>
  <c r="S291" i="17"/>
  <c r="S150" i="17"/>
  <c r="S182" i="17"/>
  <c r="S246" i="17"/>
  <c r="S310" i="17"/>
  <c r="S341" i="17"/>
  <c r="S405" i="17"/>
  <c r="S368" i="17"/>
  <c r="S464" i="17"/>
  <c r="S425" i="17"/>
  <c r="S489" i="17"/>
  <c r="S521" i="17"/>
  <c r="S530" i="17"/>
  <c r="S594" i="17"/>
  <c r="S608" i="17"/>
  <c r="T19" i="17"/>
  <c r="T83" i="17"/>
  <c r="T18" i="17"/>
  <c r="T82" i="17"/>
  <c r="T148" i="17"/>
  <c r="T128" i="17"/>
  <c r="T192" i="17"/>
  <c r="T256" i="17"/>
  <c r="T115" i="17"/>
  <c r="T179" i="17"/>
  <c r="T243" i="17"/>
  <c r="T307" i="17"/>
  <c r="T340" i="17"/>
  <c r="T404" i="17"/>
  <c r="T333" i="17"/>
  <c r="T397" i="17"/>
  <c r="T429" i="17"/>
  <c r="T493" i="17"/>
  <c r="T456" i="17"/>
  <c r="T518" i="17"/>
  <c r="T551" i="17"/>
  <c r="T572" i="17"/>
  <c r="T126" i="17"/>
  <c r="T190" i="17"/>
  <c r="T254" i="17"/>
  <c r="T113" i="17"/>
  <c r="T177" i="17"/>
  <c r="T241" i="17"/>
  <c r="T305" i="17"/>
  <c r="T338" i="17"/>
  <c r="T402" i="17"/>
  <c r="T331" i="17"/>
  <c r="T395" i="17"/>
  <c r="T427" i="17"/>
  <c r="T491" i="17"/>
  <c r="T454" i="17"/>
  <c r="T519" i="17"/>
  <c r="T581" i="17"/>
  <c r="T570" i="17"/>
  <c r="T212" i="17"/>
  <c r="T172" i="17"/>
  <c r="T152" i="17"/>
  <c r="T216" i="17"/>
  <c r="T280" i="17"/>
  <c r="T139" i="17"/>
  <c r="T203" i="17"/>
  <c r="T267" i="17"/>
  <c r="T364" i="17"/>
  <c r="T357" i="17"/>
  <c r="T453" i="17"/>
  <c r="T517" i="17"/>
  <c r="T480" i="17"/>
  <c r="T542" i="17"/>
  <c r="T575" i="17"/>
  <c r="T533" i="17"/>
  <c r="T595" i="17"/>
  <c r="T608" i="17"/>
  <c r="T150" i="17"/>
  <c r="T214" i="17"/>
  <c r="T278" i="17"/>
  <c r="T137" i="17"/>
  <c r="T201" i="17"/>
  <c r="T265" i="17"/>
  <c r="T362" i="17"/>
  <c r="T355" i="17"/>
  <c r="T451" i="17"/>
  <c r="T515" i="17"/>
  <c r="T478" i="17"/>
  <c r="T540" i="17"/>
  <c r="T531" i="17"/>
  <c r="T594" i="17"/>
  <c r="T606" i="17"/>
  <c r="T252" i="17"/>
  <c r="T164" i="17"/>
  <c r="T144" i="17"/>
  <c r="T208" i="17"/>
  <c r="T272" i="17"/>
  <c r="T131" i="17"/>
  <c r="T195" i="17"/>
  <c r="T259" i="17"/>
  <c r="T356" i="17"/>
  <c r="T349" i="17"/>
  <c r="T413" i="17"/>
  <c r="T445" i="17"/>
  <c r="T509" i="17"/>
  <c r="T472" i="17"/>
  <c r="T534" i="17"/>
  <c r="T567" i="17"/>
  <c r="T525" i="17"/>
  <c r="T588" i="17"/>
  <c r="T600" i="17"/>
  <c r="T142" i="17"/>
  <c r="T206" i="17"/>
  <c r="T270" i="17"/>
  <c r="T129" i="17"/>
  <c r="T193" i="17"/>
  <c r="T257" i="17"/>
  <c r="T354" i="17"/>
  <c r="T347" i="17"/>
  <c r="T411" i="17"/>
  <c r="T443" i="17"/>
  <c r="T507" i="17"/>
  <c r="T470" i="17"/>
  <c r="T532" i="17"/>
  <c r="T523" i="17"/>
  <c r="T586" i="17"/>
  <c r="T598" i="17"/>
  <c r="T228" i="17"/>
  <c r="T104" i="17"/>
  <c r="T168" i="17"/>
  <c r="T232" i="17"/>
  <c r="T296" i="17"/>
  <c r="T155" i="17"/>
  <c r="T219" i="17"/>
  <c r="T283" i="17"/>
  <c r="T316" i="17"/>
  <c r="T380" i="17"/>
  <c r="T373" i="17"/>
  <c r="T469" i="17"/>
  <c r="T432" i="17"/>
  <c r="T496" i="17"/>
  <c r="T591" i="17"/>
  <c r="T548" i="17"/>
  <c r="T611" i="17"/>
  <c r="T102" i="17"/>
  <c r="T166" i="17"/>
  <c r="T230" i="17"/>
  <c r="T294" i="17"/>
  <c r="T153" i="17"/>
  <c r="T217" i="17"/>
  <c r="T281" i="17"/>
  <c r="T378" i="17"/>
  <c r="T371" i="17"/>
  <c r="T467" i="17"/>
  <c r="T430" i="17"/>
  <c r="T494" i="17"/>
  <c r="T557" i="17"/>
  <c r="T546" i="17"/>
  <c r="T609" i="17"/>
  <c r="T188" i="17"/>
  <c r="T268" i="17"/>
  <c r="T127" i="17"/>
  <c r="T191" i="17"/>
  <c r="T255" i="17"/>
  <c r="T352" i="17"/>
  <c r="T416" i="17"/>
  <c r="T345" i="17"/>
  <c r="T409" i="17"/>
  <c r="T441" i="17"/>
  <c r="T505" i="17"/>
  <c r="T436" i="17"/>
  <c r="T500" i="17"/>
  <c r="T552" i="17"/>
  <c r="T106" i="17"/>
  <c r="T170" i="17"/>
  <c r="T234" i="17"/>
  <c r="T298" i="17"/>
  <c r="T157" i="17"/>
  <c r="T221" i="17"/>
  <c r="T285" i="17"/>
  <c r="T318" i="17"/>
  <c r="T382" i="17"/>
  <c r="T375" i="17"/>
  <c r="T471" i="17"/>
  <c r="T434" i="17"/>
  <c r="T498" i="17"/>
  <c r="T561" i="17"/>
  <c r="T550" i="17"/>
  <c r="T613" i="17"/>
  <c r="T207" i="17"/>
  <c r="T368" i="17"/>
  <c r="T457" i="17"/>
  <c r="T516" i="17"/>
  <c r="T547" i="17"/>
  <c r="T122" i="17"/>
  <c r="T186" i="17"/>
  <c r="T250" i="17"/>
  <c r="T314" i="17"/>
  <c r="T173" i="17"/>
  <c r="T237" i="17"/>
  <c r="T301" i="17"/>
  <c r="T334" i="17"/>
  <c r="T359" i="17"/>
  <c r="T487" i="17"/>
  <c r="T514" i="17"/>
  <c r="T566" i="17"/>
  <c r="T610" i="17"/>
  <c r="T244" i="17"/>
  <c r="T140" i="17"/>
  <c r="T120" i="17"/>
  <c r="T184" i="17"/>
  <c r="T248" i="17"/>
  <c r="T312" i="17"/>
  <c r="T171" i="17"/>
  <c r="T235" i="17"/>
  <c r="T299" i="17"/>
  <c r="T332" i="17"/>
  <c r="T396" i="17"/>
  <c r="T325" i="17"/>
  <c r="T389" i="17"/>
  <c r="T421" i="17"/>
  <c r="T485" i="17"/>
  <c r="T448" i="17"/>
  <c r="T512" i="17"/>
  <c r="T564" i="17"/>
  <c r="T118" i="17"/>
  <c r="T182" i="17"/>
  <c r="T246" i="17"/>
  <c r="T310" i="17"/>
  <c r="T169" i="17"/>
  <c r="T233" i="17"/>
  <c r="T297" i="17"/>
  <c r="T330" i="17"/>
  <c r="T394" i="17"/>
  <c r="T323" i="17"/>
  <c r="T387" i="17"/>
  <c r="T419" i="17"/>
  <c r="T483" i="17"/>
  <c r="T446" i="17"/>
  <c r="T510" i="17"/>
  <c r="T562" i="17"/>
  <c r="T204" i="17"/>
  <c r="T284" i="17"/>
  <c r="T112" i="17"/>
  <c r="T176" i="17"/>
  <c r="T240" i="17"/>
  <c r="T304" i="17"/>
  <c r="T163" i="17"/>
  <c r="T227" i="17"/>
  <c r="T291" i="17"/>
  <c r="T324" i="17"/>
  <c r="T388" i="17"/>
  <c r="T317" i="17"/>
  <c r="T381" i="17"/>
  <c r="T477" i="17"/>
  <c r="T440" i="17"/>
  <c r="T504" i="17"/>
  <c r="T556" i="17"/>
  <c r="T110" i="17"/>
  <c r="T174" i="17"/>
  <c r="T238" i="17"/>
  <c r="T302" i="17"/>
  <c r="T161" i="17"/>
  <c r="T225" i="17"/>
  <c r="T289" i="17"/>
  <c r="T322" i="17"/>
  <c r="T386" i="17"/>
  <c r="T315" i="17"/>
  <c r="T379" i="17"/>
  <c r="T475" i="17"/>
  <c r="T438" i="17"/>
  <c r="T502" i="17"/>
  <c r="T565" i="17"/>
  <c r="T554" i="17"/>
  <c r="T196" i="17"/>
  <c r="T260" i="17"/>
  <c r="T156" i="17"/>
  <c r="T136" i="17"/>
  <c r="T200" i="17"/>
  <c r="T264" i="17"/>
  <c r="T123" i="17"/>
  <c r="T187" i="17"/>
  <c r="T251" i="17"/>
  <c r="T348" i="17"/>
  <c r="T412" i="17"/>
  <c r="T341" i="17"/>
  <c r="T405" i="17"/>
  <c r="T437" i="17"/>
  <c r="T501" i="17"/>
  <c r="T464" i="17"/>
  <c r="T526" i="17"/>
  <c r="T559" i="17"/>
  <c r="T580" i="17"/>
  <c r="T134" i="17"/>
  <c r="T198" i="17"/>
  <c r="T262" i="17"/>
  <c r="T121" i="17"/>
  <c r="T185" i="17"/>
  <c r="T249" i="17"/>
  <c r="T313" i="17"/>
  <c r="T346" i="17"/>
  <c r="T410" i="17"/>
  <c r="T339" i="17"/>
  <c r="T403" i="17"/>
  <c r="T435" i="17"/>
  <c r="T499" i="17"/>
  <c r="T462" i="17"/>
  <c r="T524" i="17"/>
  <c r="T589" i="17"/>
  <c r="T578" i="17"/>
  <c r="T220" i="17"/>
  <c r="T300" i="17"/>
  <c r="T159" i="17"/>
  <c r="T223" i="17"/>
  <c r="T287" i="17"/>
  <c r="T320" i="17"/>
  <c r="T384" i="17"/>
  <c r="T377" i="17"/>
  <c r="T473" i="17"/>
  <c r="T468" i="17"/>
  <c r="T530" i="17"/>
  <c r="T563" i="17"/>
  <c r="T521" i="17"/>
  <c r="T584" i="17"/>
  <c r="T596" i="17"/>
  <c r="T138" i="17"/>
  <c r="T202" i="17"/>
  <c r="T266" i="17"/>
  <c r="T125" i="17"/>
  <c r="T189" i="17"/>
  <c r="T253" i="17"/>
  <c r="T350" i="17"/>
  <c r="T414" i="17"/>
  <c r="T343" i="17"/>
  <c r="T407" i="17"/>
  <c r="T439" i="17"/>
  <c r="T503" i="17"/>
  <c r="T466" i="17"/>
  <c r="T528" i="17"/>
  <c r="T593" i="17"/>
  <c r="T582" i="17"/>
  <c r="T143" i="17"/>
  <c r="T271" i="17"/>
  <c r="T336" i="17"/>
  <c r="T400" i="17"/>
  <c r="T361" i="17"/>
  <c r="T425" i="17"/>
  <c r="T489" i="17"/>
  <c r="T452" i="17"/>
  <c r="T579" i="17"/>
  <c r="T568" i="17"/>
  <c r="T612" i="17"/>
  <c r="T154" i="17"/>
  <c r="T218" i="17"/>
  <c r="T282" i="17"/>
  <c r="T141" i="17"/>
  <c r="T205" i="17"/>
  <c r="T269" i="17"/>
  <c r="T398" i="17"/>
  <c r="T327" i="17"/>
  <c r="T391" i="17"/>
  <c r="T423" i="17"/>
  <c r="T450" i="17"/>
  <c r="T577" i="17"/>
  <c r="T276" i="17"/>
  <c r="T135" i="17"/>
  <c r="T199" i="17"/>
  <c r="T263" i="17"/>
  <c r="T360" i="17"/>
  <c r="T111" i="17"/>
  <c r="T239" i="17"/>
  <c r="T329" i="17"/>
  <c r="T420" i="17"/>
  <c r="T537" i="17"/>
  <c r="T366" i="17"/>
  <c r="T418" i="17"/>
  <c r="T545" i="17"/>
  <c r="T597" i="17"/>
  <c r="T292" i="17"/>
  <c r="T151" i="17"/>
  <c r="T215" i="17"/>
  <c r="T279" i="17"/>
  <c r="T376" i="17"/>
  <c r="T369" i="17"/>
  <c r="T465" i="17"/>
  <c r="T460" i="17"/>
  <c r="T353" i="17"/>
  <c r="T417" i="17"/>
  <c r="T481" i="17"/>
  <c r="T508" i="17"/>
  <c r="T560" i="17"/>
  <c r="T114" i="17"/>
  <c r="T178" i="17"/>
  <c r="T242" i="17"/>
  <c r="T306" i="17"/>
  <c r="T165" i="17"/>
  <c r="T229" i="17"/>
  <c r="T293" i="17"/>
  <c r="T326" i="17"/>
  <c r="T390" i="17"/>
  <c r="T319" i="17"/>
  <c r="T383" i="17"/>
  <c r="T479" i="17"/>
  <c r="T442" i="17"/>
  <c r="T506" i="17"/>
  <c r="T569" i="17"/>
  <c r="T558" i="17"/>
  <c r="T308" i="17"/>
  <c r="T167" i="17"/>
  <c r="T231" i="17"/>
  <c r="T295" i="17"/>
  <c r="T328" i="17"/>
  <c r="T392" i="17"/>
  <c r="T321" i="17"/>
  <c r="T175" i="17"/>
  <c r="T303" i="17"/>
  <c r="T393" i="17"/>
  <c r="T484" i="17"/>
  <c r="T599" i="17"/>
  <c r="T455" i="17"/>
  <c r="T482" i="17"/>
  <c r="T535" i="17"/>
  <c r="T236" i="17"/>
  <c r="T119" i="17"/>
  <c r="T183" i="17"/>
  <c r="T247" i="17"/>
  <c r="T311" i="17"/>
  <c r="T344" i="17"/>
  <c r="T408" i="17"/>
  <c r="T337" i="17"/>
  <c r="T401" i="17"/>
  <c r="T433" i="17"/>
  <c r="T497" i="17"/>
  <c r="T428" i="17"/>
  <c r="T492" i="17"/>
  <c r="T449" i="17"/>
  <c r="T513" i="17"/>
  <c r="T444" i="17"/>
  <c r="T538" i="17"/>
  <c r="T571" i="17"/>
  <c r="T529" i="17"/>
  <c r="T592" i="17"/>
  <c r="T604" i="17"/>
  <c r="T146" i="17"/>
  <c r="T210" i="17"/>
  <c r="T274" i="17"/>
  <c r="T133" i="17"/>
  <c r="T197" i="17"/>
  <c r="T261" i="17"/>
  <c r="T358" i="17"/>
  <c r="T351" i="17"/>
  <c r="T415" i="17"/>
  <c r="T447" i="17"/>
  <c r="T511" i="17"/>
  <c r="T474" i="17"/>
  <c r="T536" i="17"/>
  <c r="T527" i="17"/>
  <c r="T590" i="17"/>
  <c r="T602" i="17"/>
  <c r="T476" i="17"/>
  <c r="T587" i="17"/>
  <c r="T544" i="17"/>
  <c r="T607" i="17"/>
  <c r="T98" i="17"/>
  <c r="T162" i="17"/>
  <c r="T226" i="17"/>
  <c r="T290" i="17"/>
  <c r="T149" i="17"/>
  <c r="T213" i="17"/>
  <c r="T277" i="17"/>
  <c r="T374" i="17"/>
  <c r="T367" i="17"/>
  <c r="T463" i="17"/>
  <c r="T426" i="17"/>
  <c r="T490" i="17"/>
  <c r="T553" i="17"/>
  <c r="T543" i="17"/>
  <c r="T605" i="17"/>
  <c r="T385" i="17"/>
  <c r="T522" i="17"/>
  <c r="T555" i="17"/>
  <c r="T576" i="17"/>
  <c r="T130" i="17"/>
  <c r="T194" i="17"/>
  <c r="T258" i="17"/>
  <c r="T117" i="17"/>
  <c r="T181" i="17"/>
  <c r="T245" i="17"/>
  <c r="T309" i="17"/>
  <c r="T342" i="17"/>
  <c r="T406" i="17"/>
  <c r="T335" i="17"/>
  <c r="T399" i="17"/>
  <c r="T431" i="17"/>
  <c r="T495" i="17"/>
  <c r="T458" i="17"/>
  <c r="T520" i="17"/>
  <c r="T585" i="17"/>
  <c r="T574" i="17"/>
  <c r="S13" i="17"/>
  <c r="E633" i="17"/>
  <c r="B376" i="2" l="1"/>
  <c r="AF309" i="17"/>
  <c r="AF555" i="17"/>
  <c r="AF463" i="17"/>
  <c r="AF587" i="17"/>
  <c r="AE13" i="17"/>
  <c r="AF458" i="17"/>
  <c r="AF335" i="17"/>
  <c r="AF245" i="17"/>
  <c r="AF194" i="17"/>
  <c r="AF522" i="17"/>
  <c r="AF553" i="17"/>
  <c r="AF367" i="17"/>
  <c r="AF149" i="17"/>
  <c r="AF98" i="17"/>
  <c r="AF476" i="17"/>
  <c r="AF536" i="17"/>
  <c r="AF415" i="17"/>
  <c r="AF197" i="17"/>
  <c r="AF146" i="17"/>
  <c r="AF571" i="17"/>
  <c r="AF449" i="17"/>
  <c r="AF433" i="17"/>
  <c r="AF344" i="17"/>
  <c r="AF119" i="17"/>
  <c r="AF455" i="17"/>
  <c r="AF303" i="17"/>
  <c r="AF328" i="17"/>
  <c r="AF308" i="17"/>
  <c r="AF442" i="17"/>
  <c r="AF390" i="17"/>
  <c r="AF165" i="17"/>
  <c r="AF114" i="17"/>
  <c r="AF417" i="17"/>
  <c r="AF369" i="17"/>
  <c r="AF151" i="17"/>
  <c r="AF418" i="17"/>
  <c r="AF329" i="17"/>
  <c r="AF263" i="17"/>
  <c r="AF577" i="17"/>
  <c r="AF327" i="17"/>
  <c r="AF141" i="17"/>
  <c r="AF612" i="17"/>
  <c r="AF489" i="17"/>
  <c r="AF336" i="17"/>
  <c r="AF593" i="17"/>
  <c r="AF439" i="17"/>
  <c r="AF350" i="17"/>
  <c r="AF266" i="17"/>
  <c r="AF584" i="17"/>
  <c r="AF468" i="17"/>
  <c r="AF320" i="17"/>
  <c r="AF300" i="17"/>
  <c r="AF524" i="17"/>
  <c r="AF403" i="17"/>
  <c r="AF313" i="17"/>
  <c r="AF262" i="17"/>
  <c r="AF559" i="17"/>
  <c r="AF437" i="17"/>
  <c r="AF348" i="17"/>
  <c r="AF264" i="17"/>
  <c r="AF260" i="17"/>
  <c r="AF502" i="17"/>
  <c r="AF315" i="17"/>
  <c r="AF225" i="17"/>
  <c r="AF174" i="17"/>
  <c r="AF440" i="17"/>
  <c r="AF388" i="17"/>
  <c r="AF163" i="17"/>
  <c r="AF112" i="17"/>
  <c r="AF510" i="17"/>
  <c r="AF387" i="17"/>
  <c r="AF297" i="17"/>
  <c r="AF246" i="17"/>
  <c r="AF512" i="17"/>
  <c r="AF389" i="17"/>
  <c r="AF299" i="17"/>
  <c r="AF248" i="17"/>
  <c r="AF244" i="17"/>
  <c r="AF487" i="17"/>
  <c r="AF237" i="17"/>
  <c r="AF186" i="17"/>
  <c r="AF457" i="17"/>
  <c r="AF550" i="17"/>
  <c r="AF471" i="17"/>
  <c r="AF285" i="17"/>
  <c r="AF234" i="17"/>
  <c r="AF500" i="17"/>
  <c r="AF409" i="17"/>
  <c r="AF255" i="17"/>
  <c r="AF188" i="17"/>
  <c r="AF494" i="17"/>
  <c r="AF378" i="17"/>
  <c r="AF294" i="17"/>
  <c r="AF611" i="17"/>
  <c r="AF432" i="17"/>
  <c r="AF316" i="17"/>
  <c r="AF296" i="17"/>
  <c r="AF228" i="17"/>
  <c r="AF532" i="17"/>
  <c r="AF411" i="17"/>
  <c r="AF193" i="17"/>
  <c r="AF142" i="17"/>
  <c r="AF567" i="17"/>
  <c r="AF445" i="17"/>
  <c r="AF259" i="17"/>
  <c r="AF208" i="17"/>
  <c r="AF606" i="17"/>
  <c r="AF478" i="17"/>
  <c r="AF362" i="17"/>
  <c r="AF278" i="17"/>
  <c r="AF595" i="17"/>
  <c r="AF480" i="17"/>
  <c r="AF364" i="17"/>
  <c r="AF280" i="17"/>
  <c r="AF212" i="17"/>
  <c r="AF454" i="17"/>
  <c r="AF331" i="17"/>
  <c r="AF241" i="17"/>
  <c r="AF190" i="17"/>
  <c r="AF518" i="17"/>
  <c r="AF397" i="17"/>
  <c r="AF307" i="17"/>
  <c r="AF256" i="17"/>
  <c r="AF82" i="17"/>
  <c r="AE608" i="17"/>
  <c r="AE489" i="17"/>
  <c r="AE405" i="17"/>
  <c r="AE182" i="17"/>
  <c r="AE163" i="17"/>
  <c r="AE145" i="17"/>
  <c r="AE599" i="17"/>
  <c r="AE442" i="17"/>
  <c r="AE609" i="17"/>
  <c r="AE477" i="17"/>
  <c r="AE393" i="17"/>
  <c r="AE138" i="17"/>
  <c r="AE55" i="17"/>
  <c r="AF41" i="17"/>
  <c r="AE447" i="17"/>
  <c r="AE384" i="17"/>
  <c r="AE569" i="17"/>
  <c r="AF58" i="17"/>
  <c r="AE591" i="17"/>
  <c r="AE512" i="17"/>
  <c r="AE286" i="17"/>
  <c r="AE174" i="17"/>
  <c r="AE51" i="17"/>
  <c r="AE129" i="17"/>
  <c r="AF85" i="17"/>
  <c r="AE518" i="17"/>
  <c r="AF486" i="17"/>
  <c r="AF370" i="17"/>
  <c r="AF286" i="17"/>
  <c r="AF603" i="17"/>
  <c r="AF424" i="17"/>
  <c r="AF275" i="17"/>
  <c r="AF224" i="17"/>
  <c r="AF50" i="17"/>
  <c r="AE457" i="17"/>
  <c r="AE336" i="17"/>
  <c r="AE118" i="17"/>
  <c r="AE99" i="17"/>
  <c r="AE82" i="17"/>
  <c r="AF93" i="17"/>
  <c r="AE540" i="17"/>
  <c r="AE474" i="17"/>
  <c r="AE563" i="17"/>
  <c r="AE484" i="17"/>
  <c r="AE361" i="17"/>
  <c r="AE311" i="17"/>
  <c r="AE87" i="17"/>
  <c r="AF72" i="17"/>
  <c r="AE552" i="17"/>
  <c r="AE352" i="17"/>
  <c r="AE602" i="17"/>
  <c r="AF42" i="17"/>
  <c r="AE546" i="17"/>
  <c r="AE408" i="17"/>
  <c r="AE317" i="17"/>
  <c r="AE206" i="17"/>
  <c r="AE219" i="17"/>
  <c r="AE60" i="17"/>
  <c r="AE98" i="17"/>
  <c r="AF101" i="17"/>
  <c r="AE610" i="17"/>
  <c r="AE539" i="17"/>
  <c r="AE466" i="17"/>
  <c r="AF31" i="17"/>
  <c r="AE501" i="17"/>
  <c r="AE316" i="17"/>
  <c r="AE162" i="17"/>
  <c r="AE111" i="17"/>
  <c r="AE16" i="17"/>
  <c r="AE589" i="17"/>
  <c r="AE567" i="17"/>
  <c r="AE417" i="17"/>
  <c r="AE328" i="17"/>
  <c r="AF68" i="17"/>
  <c r="AF67" i="17"/>
  <c r="AE166" i="17"/>
  <c r="AE115" i="17"/>
  <c r="AF13" i="17"/>
  <c r="AE458" i="17"/>
  <c r="AF23" i="17"/>
  <c r="AE525" i="17"/>
  <c r="AE372" i="17"/>
  <c r="AE154" i="17"/>
  <c r="AE71" i="17"/>
  <c r="AE581" i="17"/>
  <c r="AF27" i="17"/>
  <c r="AE538" i="17"/>
  <c r="AE171" i="17"/>
  <c r="AE443" i="17"/>
  <c r="AF47" i="17"/>
  <c r="AE434" i="17"/>
  <c r="AE587" i="17"/>
  <c r="AE444" i="17"/>
  <c r="AE321" i="17"/>
  <c r="AE271" i="17"/>
  <c r="AE48" i="17"/>
  <c r="AE557" i="17"/>
  <c r="AE439" i="17"/>
  <c r="AE481" i="17"/>
  <c r="AE333" i="17"/>
  <c r="AF36" i="17"/>
  <c r="AF34" i="17"/>
  <c r="AE230" i="17"/>
  <c r="AE147" i="17"/>
  <c r="AE50" i="17"/>
  <c r="AE451" i="17"/>
  <c r="AF55" i="17"/>
  <c r="AE500" i="17"/>
  <c r="AE409" i="17"/>
  <c r="AE218" i="17"/>
  <c r="AE135" i="17"/>
  <c r="AE40" i="17"/>
  <c r="AF25" i="17"/>
  <c r="AE536" i="17"/>
  <c r="AF59" i="17"/>
  <c r="AE433" i="17"/>
  <c r="AE158" i="17"/>
  <c r="AE107" i="17"/>
  <c r="AE475" i="17"/>
  <c r="AF14" i="17"/>
  <c r="AE590" i="17"/>
  <c r="AE460" i="17"/>
  <c r="AE306" i="17"/>
  <c r="AE223" i="17"/>
  <c r="AF48" i="17"/>
  <c r="AE455" i="17"/>
  <c r="AE318" i="17"/>
  <c r="AE164" i="17"/>
  <c r="AE304" i="17"/>
  <c r="AE221" i="17"/>
  <c r="AE116" i="17"/>
  <c r="AE288" i="17"/>
  <c r="AE185" i="17"/>
  <c r="AE342" i="17"/>
  <c r="AE284" i="17"/>
  <c r="AE375" i="17"/>
  <c r="AE152" i="17"/>
  <c r="AE229" i="17"/>
  <c r="AE53" i="17"/>
  <c r="AE470" i="17"/>
  <c r="AE200" i="17"/>
  <c r="AE265" i="17"/>
  <c r="AE334" i="17"/>
  <c r="AE351" i="17"/>
  <c r="AE102" i="17"/>
  <c r="AE558" i="17"/>
  <c r="AE428" i="17"/>
  <c r="AE274" i="17"/>
  <c r="AE255" i="17"/>
  <c r="AE31" i="17"/>
  <c r="AF16" i="17"/>
  <c r="AE560" i="17"/>
  <c r="AE423" i="17"/>
  <c r="AE387" i="17"/>
  <c r="AE394" i="17"/>
  <c r="AE208" i="17"/>
  <c r="AE189" i="17"/>
  <c r="AE14" i="17"/>
  <c r="AE415" i="17"/>
  <c r="AE22" i="17"/>
  <c r="AE390" i="17"/>
  <c r="AE395" i="17"/>
  <c r="AE188" i="17"/>
  <c r="AE359" i="17"/>
  <c r="AE184" i="17"/>
  <c r="AE277" i="17"/>
  <c r="AE149" i="17"/>
  <c r="AE438" i="17"/>
  <c r="AE232" i="17"/>
  <c r="AE169" i="17"/>
  <c r="AE308" i="17"/>
  <c r="AE319" i="17"/>
  <c r="AE38" i="17"/>
  <c r="AE402" i="17"/>
  <c r="AE301" i="17"/>
  <c r="AE45" i="17"/>
  <c r="AE140" i="17"/>
  <c r="AE236" i="17"/>
  <c r="AE42" i="17"/>
  <c r="AE17" i="17"/>
  <c r="AE74" i="17"/>
  <c r="AF574" i="17"/>
  <c r="AF406" i="17"/>
  <c r="AF130" i="17"/>
  <c r="AF490" i="17"/>
  <c r="AF290" i="17"/>
  <c r="AF607" i="17"/>
  <c r="AF602" i="17"/>
  <c r="AF474" i="17"/>
  <c r="AF351" i="17"/>
  <c r="AF133" i="17"/>
  <c r="AF604" i="17"/>
  <c r="AF538" i="17"/>
  <c r="AF492" i="17"/>
  <c r="AF401" i="17"/>
  <c r="AF311" i="17"/>
  <c r="AF236" i="17"/>
  <c r="AF599" i="17"/>
  <c r="AF175" i="17"/>
  <c r="AF295" i="17"/>
  <c r="AF558" i="17"/>
  <c r="AF479" i="17"/>
  <c r="AF326" i="17"/>
  <c r="AF306" i="17"/>
  <c r="AF560" i="17"/>
  <c r="AF353" i="17"/>
  <c r="AF376" i="17"/>
  <c r="AF292" i="17"/>
  <c r="AF366" i="17"/>
  <c r="AF239" i="17"/>
  <c r="AF199" i="17"/>
  <c r="AF450" i="17"/>
  <c r="AF398" i="17"/>
  <c r="AF282" i="17"/>
  <c r="AF568" i="17"/>
  <c r="AF425" i="17"/>
  <c r="AF271" i="17"/>
  <c r="AF528" i="17"/>
  <c r="AF407" i="17"/>
  <c r="AF253" i="17"/>
  <c r="AF202" i="17"/>
  <c r="AF521" i="17"/>
  <c r="AF473" i="17"/>
  <c r="AF287" i="17"/>
  <c r="AF220" i="17"/>
  <c r="AF462" i="17"/>
  <c r="AF339" i="17"/>
  <c r="AF249" i="17"/>
  <c r="AF198" i="17"/>
  <c r="AF526" i="17"/>
  <c r="AF405" i="17"/>
  <c r="AF251" i="17"/>
  <c r="AF200" i="17"/>
  <c r="AF196" i="17"/>
  <c r="AF438" i="17"/>
  <c r="AF386" i="17"/>
  <c r="AF161" i="17"/>
  <c r="AF110" i="17"/>
  <c r="AF477" i="17"/>
  <c r="AF324" i="17"/>
  <c r="AF304" i="17"/>
  <c r="AF284" i="17"/>
  <c r="AF446" i="17"/>
  <c r="AF323" i="17"/>
  <c r="AF233" i="17"/>
  <c r="AF182" i="17"/>
  <c r="AF448" i="17"/>
  <c r="AF325" i="17"/>
  <c r="AF235" i="17"/>
  <c r="AF184" i="17"/>
  <c r="AF610" i="17"/>
  <c r="AF359" i="17"/>
  <c r="AF173" i="17"/>
  <c r="AF122" i="17"/>
  <c r="AF368" i="17"/>
  <c r="AF561" i="17"/>
  <c r="AF375" i="17"/>
  <c r="AF221" i="17"/>
  <c r="AF170" i="17"/>
  <c r="AF436" i="17"/>
  <c r="AF345" i="17"/>
  <c r="AF191" i="17"/>
  <c r="AF609" i="17"/>
  <c r="AF430" i="17"/>
  <c r="AF281" i="17"/>
  <c r="AF230" i="17"/>
  <c r="AF548" i="17"/>
  <c r="AF469" i="17"/>
  <c r="AF283" i="17"/>
  <c r="AF232" i="17"/>
  <c r="AF598" i="17"/>
  <c r="AF470" i="17"/>
  <c r="AF347" i="17"/>
  <c r="AF129" i="17"/>
  <c r="AF600" i="17"/>
  <c r="AF534" i="17"/>
  <c r="AF413" i="17"/>
  <c r="AF195" i="17"/>
  <c r="AF144" i="17"/>
  <c r="AF594" i="17"/>
  <c r="AF515" i="17"/>
  <c r="AF265" i="17"/>
  <c r="AF214" i="17"/>
  <c r="AF533" i="17"/>
  <c r="AF517" i="17"/>
  <c r="AF267" i="17"/>
  <c r="AF216" i="17"/>
  <c r="AF570" i="17"/>
  <c r="AF491" i="17"/>
  <c r="AF402" i="17"/>
  <c r="AF177" i="17"/>
  <c r="AF126" i="17"/>
  <c r="AF456" i="17"/>
  <c r="AF333" i="17"/>
  <c r="AF243" i="17"/>
  <c r="AF192" i="17"/>
  <c r="AF18" i="17"/>
  <c r="AE594" i="17"/>
  <c r="AE425" i="17"/>
  <c r="AE341" i="17"/>
  <c r="AE150" i="17"/>
  <c r="AE67" i="17"/>
  <c r="AE18" i="17"/>
  <c r="AE585" i="17"/>
  <c r="AE410" i="17"/>
  <c r="AE596" i="17"/>
  <c r="AE516" i="17"/>
  <c r="AE329" i="17"/>
  <c r="AE279" i="17"/>
  <c r="AE56" i="17"/>
  <c r="AE565" i="17"/>
  <c r="AE520" i="17"/>
  <c r="AE320" i="17"/>
  <c r="AE515" i="17"/>
  <c r="AF26" i="17"/>
  <c r="AE578" i="17"/>
  <c r="AE448" i="17"/>
  <c r="AE254" i="17"/>
  <c r="AE251" i="17"/>
  <c r="AE92" i="17"/>
  <c r="AE66" i="17"/>
  <c r="AF53" i="17"/>
  <c r="AF601" i="17"/>
  <c r="AF422" i="17"/>
  <c r="AF273" i="17"/>
  <c r="AF222" i="17"/>
  <c r="AF541" i="17"/>
  <c r="AF461" i="17"/>
  <c r="AF211" i="17"/>
  <c r="AF160" i="17"/>
  <c r="AF51" i="17"/>
  <c r="AE496" i="17"/>
  <c r="AE373" i="17"/>
  <c r="AE259" i="17"/>
  <c r="AE35" i="17"/>
  <c r="AE44" i="17"/>
  <c r="AF29" i="17"/>
  <c r="AE531" i="17"/>
  <c r="AF38" i="17"/>
  <c r="AE550" i="17"/>
  <c r="AE420" i="17"/>
  <c r="AE266" i="17"/>
  <c r="AE247" i="17"/>
  <c r="AE23" i="17"/>
  <c r="AF73" i="17"/>
  <c r="AE543" i="17"/>
  <c r="AE389" i="17"/>
  <c r="AE483" i="17"/>
  <c r="AF75" i="17"/>
  <c r="AE505" i="17"/>
  <c r="AE344" i="17"/>
  <c r="AE302" i="17"/>
  <c r="AE142" i="17"/>
  <c r="AE155" i="17"/>
  <c r="AE21" i="17"/>
  <c r="AE34" i="17"/>
  <c r="AF69" i="17"/>
  <c r="AE545" i="17"/>
  <c r="AE523" i="17"/>
  <c r="AF96" i="17"/>
  <c r="AE555" i="17"/>
  <c r="AE437" i="17"/>
  <c r="AE353" i="17"/>
  <c r="AE303" i="17"/>
  <c r="AE79" i="17"/>
  <c r="AF64" i="17"/>
  <c r="AE544" i="17"/>
  <c r="AE554" i="17"/>
  <c r="AE488" i="17"/>
  <c r="AE365" i="17"/>
  <c r="AE593" i="17"/>
  <c r="AE605" i="17"/>
  <c r="AE307" i="17"/>
  <c r="AE241" i="17"/>
  <c r="AE556" i="17"/>
  <c r="AF86" i="17"/>
  <c r="AE612" i="17"/>
  <c r="AE493" i="17"/>
  <c r="AE345" i="17"/>
  <c r="AE295" i="17"/>
  <c r="AE72" i="17"/>
  <c r="AE463" i="17"/>
  <c r="AE583" i="17"/>
  <c r="AE126" i="17"/>
  <c r="AE108" i="17"/>
  <c r="AE482" i="17"/>
  <c r="AE564" i="17"/>
  <c r="AF62" i="17"/>
  <c r="AE574" i="17"/>
  <c r="AE412" i="17"/>
  <c r="AE290" i="17"/>
  <c r="AE207" i="17"/>
  <c r="AF32" i="17"/>
  <c r="AE576" i="17"/>
  <c r="AE600" i="17"/>
  <c r="AE456" i="17"/>
  <c r="AE91" i="17"/>
  <c r="AE561" i="17"/>
  <c r="AF99" i="17"/>
  <c r="AE134" i="17"/>
  <c r="AE84" i="17"/>
  <c r="AF109" i="17"/>
  <c r="AE490" i="17"/>
  <c r="AE579" i="17"/>
  <c r="AE436" i="17"/>
  <c r="AE377" i="17"/>
  <c r="AE122" i="17"/>
  <c r="AE103" i="17"/>
  <c r="AF88" i="17"/>
  <c r="AE595" i="17"/>
  <c r="AE527" i="17"/>
  <c r="AE597" i="17"/>
  <c r="AE504" i="17"/>
  <c r="AE267" i="17"/>
  <c r="AE75" i="17"/>
  <c r="AE514" i="17"/>
  <c r="AF79" i="17"/>
  <c r="AE526" i="17"/>
  <c r="AE364" i="17"/>
  <c r="AE242" i="17"/>
  <c r="AE159" i="17"/>
  <c r="AF49" i="17"/>
  <c r="AE494" i="17"/>
  <c r="AE355" i="17"/>
  <c r="AE362" i="17"/>
  <c r="AE240" i="17"/>
  <c r="AE157" i="17"/>
  <c r="AE89" i="17"/>
  <c r="AE224" i="17"/>
  <c r="AE422" i="17"/>
  <c r="AE379" i="17"/>
  <c r="AE220" i="17"/>
  <c r="AE343" i="17"/>
  <c r="AE120" i="17"/>
  <c r="AE197" i="17"/>
  <c r="AE29" i="17"/>
  <c r="AE156" i="17"/>
  <c r="AE94" i="17"/>
  <c r="AE201" i="17"/>
  <c r="AE371" i="17"/>
  <c r="AE128" i="17"/>
  <c r="AE313" i="17"/>
  <c r="AE517" i="17"/>
  <c r="AE396" i="17"/>
  <c r="AE210" i="17"/>
  <c r="AE191" i="17"/>
  <c r="AE96" i="17"/>
  <c r="AF81" i="17"/>
  <c r="AE528" i="17"/>
  <c r="AE446" i="17"/>
  <c r="AE323" i="17"/>
  <c r="AE330" i="17"/>
  <c r="AE176" i="17"/>
  <c r="AE125" i="17"/>
  <c r="AE289" i="17"/>
  <c r="AE256" i="17"/>
  <c r="AE297" i="17"/>
  <c r="AE358" i="17"/>
  <c r="AE363" i="17"/>
  <c r="AE378" i="17"/>
  <c r="AE327" i="17"/>
  <c r="AE168" i="17"/>
  <c r="AE245" i="17"/>
  <c r="AE117" i="17"/>
  <c r="AE386" i="17"/>
  <c r="AE62" i="17"/>
  <c r="AE366" i="17"/>
  <c r="AE244" i="17"/>
  <c r="AE269" i="17"/>
  <c r="AE153" i="17"/>
  <c r="AE370" i="17"/>
  <c r="AE237" i="17"/>
  <c r="AE105" i="17"/>
  <c r="AE281" i="17"/>
  <c r="AE69" i="17"/>
  <c r="AE58" i="17"/>
  <c r="AE90" i="17"/>
  <c r="AF520" i="17"/>
  <c r="AF495" i="17"/>
  <c r="AF181" i="17"/>
  <c r="AF385" i="17"/>
  <c r="AF374" i="17"/>
  <c r="AF585" i="17"/>
  <c r="AF431" i="17"/>
  <c r="AF342" i="17"/>
  <c r="AF117" i="17"/>
  <c r="AF576" i="17"/>
  <c r="AF605" i="17"/>
  <c r="AF426" i="17"/>
  <c r="AF277" i="17"/>
  <c r="AF226" i="17"/>
  <c r="AF544" i="17"/>
  <c r="AF590" i="17"/>
  <c r="AF511" i="17"/>
  <c r="AF358" i="17"/>
  <c r="AF274" i="17"/>
  <c r="AF592" i="17"/>
  <c r="AF444" i="17"/>
  <c r="AF428" i="17"/>
  <c r="AF337" i="17"/>
  <c r="AF247" i="17"/>
  <c r="AF535" i="17"/>
  <c r="AF484" i="17"/>
  <c r="AF321" i="17"/>
  <c r="AF231" i="17"/>
  <c r="AF569" i="17"/>
  <c r="AF383" i="17"/>
  <c r="AF293" i="17"/>
  <c r="AF242" i="17"/>
  <c r="AF508" i="17"/>
  <c r="AF460" i="17"/>
  <c r="AF279" i="17"/>
  <c r="AF597" i="17"/>
  <c r="AF537" i="17"/>
  <c r="AF111" i="17"/>
  <c r="AF135" i="17"/>
  <c r="AF423" i="17"/>
  <c r="AF269" i="17"/>
  <c r="AF218" i="17"/>
  <c r="AF579" i="17"/>
  <c r="AF361" i="17"/>
  <c r="AF143" i="17"/>
  <c r="AF466" i="17"/>
  <c r="AF343" i="17"/>
  <c r="AF189" i="17"/>
  <c r="AF138" i="17"/>
  <c r="AF563" i="17"/>
  <c r="AF377" i="17"/>
  <c r="AF223" i="17"/>
  <c r="AF578" i="17"/>
  <c r="AF499" i="17"/>
  <c r="AF410" i="17"/>
  <c r="AF185" i="17"/>
  <c r="AF134" i="17"/>
  <c r="AF464" i="17"/>
  <c r="AF341" i="17"/>
  <c r="AF187" i="17"/>
  <c r="AF136" i="17"/>
  <c r="AF554" i="17"/>
  <c r="AF475" i="17"/>
  <c r="AF322" i="17"/>
  <c r="AF302" i="17"/>
  <c r="AF556" i="17"/>
  <c r="AF381" i="17"/>
  <c r="AF291" i="17"/>
  <c r="AF240" i="17"/>
  <c r="AF204" i="17"/>
  <c r="AF483" i="17"/>
  <c r="AF394" i="17"/>
  <c r="AF169" i="17"/>
  <c r="AF118" i="17"/>
  <c r="AF485" i="17"/>
  <c r="AF396" i="17"/>
  <c r="AF171" i="17"/>
  <c r="AF120" i="17"/>
  <c r="AF566" i="17"/>
  <c r="AF334" i="17"/>
  <c r="AF314" i="17"/>
  <c r="AF547" i="17"/>
  <c r="AF207" i="17"/>
  <c r="AF498" i="17"/>
  <c r="AF382" i="17"/>
  <c r="AF157" i="17"/>
  <c r="AF106" i="17"/>
  <c r="AF505" i="17"/>
  <c r="AF416" i="17"/>
  <c r="AF127" i="17"/>
  <c r="AF546" i="17"/>
  <c r="AF467" i="17"/>
  <c r="AF217" i="17"/>
  <c r="AF166" i="17"/>
  <c r="AF591" i="17"/>
  <c r="AF373" i="17"/>
  <c r="AF219" i="17"/>
  <c r="AF168" i="17"/>
  <c r="AF586" i="17"/>
  <c r="AF507" i="17"/>
  <c r="AF354" i="17"/>
  <c r="AF270" i="17"/>
  <c r="AF588" i="17"/>
  <c r="AF472" i="17"/>
  <c r="AF349" i="17"/>
  <c r="AF131" i="17"/>
  <c r="AF164" i="17"/>
  <c r="AF531" i="17"/>
  <c r="AF451" i="17"/>
  <c r="AF201" i="17"/>
  <c r="AF150" i="17"/>
  <c r="AF575" i="17"/>
  <c r="AF453" i="17"/>
  <c r="AF203" i="17"/>
  <c r="AF152" i="17"/>
  <c r="AF581" i="17"/>
  <c r="AF427" i="17"/>
  <c r="AF338" i="17"/>
  <c r="AF113" i="17"/>
  <c r="AF572" i="17"/>
  <c r="AF493" i="17"/>
  <c r="AF404" i="17"/>
  <c r="AF179" i="17"/>
  <c r="AF128" i="17"/>
  <c r="AF83" i="17"/>
  <c r="AE530" i="17"/>
  <c r="AE464" i="17"/>
  <c r="AE310" i="17"/>
  <c r="AE291" i="17"/>
  <c r="AE68" i="17"/>
  <c r="AF60" i="17"/>
  <c r="AE467" i="17"/>
  <c r="AF70" i="17"/>
  <c r="AE582" i="17"/>
  <c r="AE452" i="17"/>
  <c r="AE298" i="17"/>
  <c r="AE215" i="17"/>
  <c r="AF40" i="17"/>
  <c r="AE584" i="17"/>
  <c r="AE486" i="17"/>
  <c r="AE357" i="17"/>
  <c r="AF124" i="17"/>
  <c r="AF107" i="17"/>
  <c r="AE529" i="17"/>
  <c r="AE376" i="17"/>
  <c r="AE222" i="17"/>
  <c r="AE187" i="17"/>
  <c r="AE257" i="17"/>
  <c r="AE28" i="17"/>
  <c r="AF21" i="17"/>
  <c r="AF539" i="17"/>
  <c r="AF459" i="17"/>
  <c r="AF209" i="17"/>
  <c r="AF158" i="17"/>
  <c r="AF583" i="17"/>
  <c r="AF365" i="17"/>
  <c r="AF147" i="17"/>
  <c r="AF180" i="17"/>
  <c r="AE575" i="17"/>
  <c r="AE432" i="17"/>
  <c r="AE278" i="17"/>
  <c r="AE195" i="17"/>
  <c r="AE100" i="17"/>
  <c r="AF92" i="17"/>
  <c r="AE553" i="17"/>
  <c r="AE499" i="17"/>
  <c r="AF103" i="17"/>
  <c r="AE509" i="17"/>
  <c r="AE388" i="17"/>
  <c r="AE202" i="17"/>
  <c r="AE183" i="17"/>
  <c r="AE88" i="17"/>
  <c r="AE611" i="17"/>
  <c r="AE479" i="17"/>
  <c r="AE325" i="17"/>
  <c r="AF108" i="17"/>
  <c r="AE613" i="17"/>
  <c r="AE441" i="17"/>
  <c r="AE413" i="17"/>
  <c r="AE270" i="17"/>
  <c r="AE110" i="17"/>
  <c r="AE83" i="17"/>
  <c r="AE225" i="17"/>
  <c r="AF84" i="17"/>
  <c r="AF37" i="17"/>
  <c r="AE580" i="17"/>
  <c r="AE491" i="17"/>
  <c r="AF30" i="17"/>
  <c r="AE542" i="17"/>
  <c r="AE476" i="17"/>
  <c r="AE258" i="17"/>
  <c r="AE239" i="17"/>
  <c r="AE15" i="17"/>
  <c r="AF65" i="17"/>
  <c r="AE471" i="17"/>
  <c r="AE513" i="17"/>
  <c r="AE424" i="17"/>
  <c r="AE59" i="17"/>
  <c r="AF132" i="17"/>
  <c r="AE262" i="17"/>
  <c r="AE243" i="17"/>
  <c r="AE113" i="17"/>
  <c r="AE524" i="17"/>
  <c r="AF22" i="17"/>
  <c r="AE547" i="17"/>
  <c r="AE429" i="17"/>
  <c r="AE250" i="17"/>
  <c r="AE231" i="17"/>
  <c r="AF56" i="17"/>
  <c r="AE502" i="17"/>
  <c r="AE551" i="17"/>
  <c r="AE299" i="17"/>
  <c r="AE36" i="17"/>
  <c r="AE418" i="17"/>
  <c r="AE459" i="17"/>
  <c r="AF63" i="17"/>
  <c r="AE469" i="17"/>
  <c r="AE348" i="17"/>
  <c r="AE226" i="17"/>
  <c r="AE143" i="17"/>
  <c r="AF97" i="17"/>
  <c r="AE535" i="17"/>
  <c r="AE586" i="17"/>
  <c r="AE360" i="17"/>
  <c r="AE27" i="17"/>
  <c r="AE507" i="17"/>
  <c r="AF35" i="17"/>
  <c r="AE275" i="17"/>
  <c r="AE37" i="17"/>
  <c r="AF45" i="17"/>
  <c r="AE426" i="17"/>
  <c r="AE566" i="17"/>
  <c r="AE404" i="17"/>
  <c r="AE314" i="17"/>
  <c r="AE263" i="17"/>
  <c r="AE39" i="17"/>
  <c r="AF24" i="17"/>
  <c r="AE549" i="17"/>
  <c r="AE495" i="17"/>
  <c r="AE497" i="17"/>
  <c r="AE472" i="17"/>
  <c r="AE203" i="17"/>
  <c r="AE43" i="17"/>
  <c r="AE450" i="17"/>
  <c r="AF15" i="17"/>
  <c r="AE485" i="17"/>
  <c r="AE401" i="17"/>
  <c r="AE146" i="17"/>
  <c r="AE63" i="17"/>
  <c r="AE573" i="17"/>
  <c r="AE478" i="17"/>
  <c r="AE260" i="17"/>
  <c r="AE399" i="17"/>
  <c r="AE144" i="17"/>
  <c r="AE61" i="17"/>
  <c r="AE25" i="17"/>
  <c r="AE54" i="17"/>
  <c r="AE406" i="17"/>
  <c r="AE347" i="17"/>
  <c r="AE148" i="17"/>
  <c r="AE280" i="17"/>
  <c r="AE293" i="17"/>
  <c r="AE165" i="17"/>
  <c r="AE97" i="17"/>
  <c r="AE354" i="17"/>
  <c r="AE30" i="17"/>
  <c r="AE137" i="17"/>
  <c r="AE276" i="17"/>
  <c r="AE205" i="17"/>
  <c r="AE268" i="17"/>
  <c r="AE453" i="17"/>
  <c r="AE332" i="17"/>
  <c r="AE178" i="17"/>
  <c r="AE127" i="17"/>
  <c r="AE32" i="17"/>
  <c r="AF17" i="17"/>
  <c r="AE519" i="17"/>
  <c r="AE414" i="17"/>
  <c r="AE292" i="17"/>
  <c r="AE367" i="17"/>
  <c r="AE112" i="17"/>
  <c r="AE93" i="17"/>
  <c r="AE57" i="17"/>
  <c r="AE192" i="17"/>
  <c r="AE249" i="17"/>
  <c r="AE326" i="17"/>
  <c r="AE331" i="17"/>
  <c r="AE407" i="17"/>
  <c r="AE312" i="17"/>
  <c r="AE136" i="17"/>
  <c r="AE213" i="17"/>
  <c r="AE85" i="17"/>
  <c r="AE322" i="17"/>
  <c r="AE132" i="17"/>
  <c r="AE403" i="17"/>
  <c r="AE180" i="17"/>
  <c r="AE141" i="17"/>
  <c r="AE204" i="17"/>
  <c r="AE338" i="17"/>
  <c r="AE173" i="17"/>
  <c r="AE41" i="17"/>
  <c r="AE217" i="17"/>
  <c r="AE49" i="17"/>
  <c r="AE101" i="17"/>
  <c r="AE106" i="17"/>
  <c r="AF399" i="17"/>
  <c r="AF258" i="17"/>
  <c r="AF543" i="17"/>
  <c r="AF213" i="17"/>
  <c r="AF162" i="17"/>
  <c r="AF527" i="17"/>
  <c r="AF447" i="17"/>
  <c r="AF261" i="17"/>
  <c r="AF210" i="17"/>
  <c r="AF529" i="17"/>
  <c r="AF513" i="17"/>
  <c r="AF497" i="17"/>
  <c r="AF408" i="17"/>
  <c r="AF183" i="17"/>
  <c r="AF482" i="17"/>
  <c r="AF393" i="17"/>
  <c r="AF392" i="17"/>
  <c r="AF167" i="17"/>
  <c r="AF506" i="17"/>
  <c r="AF319" i="17"/>
  <c r="AF229" i="17"/>
  <c r="AF178" i="17"/>
  <c r="AF481" i="17"/>
  <c r="AF465" i="17"/>
  <c r="AF215" i="17"/>
  <c r="AF545" i="17"/>
  <c r="AF420" i="17"/>
  <c r="AF360" i="17"/>
  <c r="AF276" i="17"/>
  <c r="AF391" i="17"/>
  <c r="AF205" i="17"/>
  <c r="AF154" i="17"/>
  <c r="AF452" i="17"/>
  <c r="AF400" i="17"/>
  <c r="AF582" i="17"/>
  <c r="AF503" i="17"/>
  <c r="AF414" i="17"/>
  <c r="AF125" i="17"/>
  <c r="AF596" i="17"/>
  <c r="AF530" i="17"/>
  <c r="AF384" i="17"/>
  <c r="AF159" i="17"/>
  <c r="AF589" i="17"/>
  <c r="AF435" i="17"/>
  <c r="AF346" i="17"/>
  <c r="AF121" i="17"/>
  <c r="AF580" i="17"/>
  <c r="AF501" i="17"/>
  <c r="AF412" i="17"/>
  <c r="AF123" i="17"/>
  <c r="AF156" i="17"/>
  <c r="AF565" i="17"/>
  <c r="AF379" i="17"/>
  <c r="AF289" i="17"/>
  <c r="AF238" i="17"/>
  <c r="AF504" i="17"/>
  <c r="AF317" i="17"/>
  <c r="AF227" i="17"/>
  <c r="AF176" i="17"/>
  <c r="AF562" i="17"/>
  <c r="AF419" i="17"/>
  <c r="AF330" i="17"/>
  <c r="AF310" i="17"/>
  <c r="AF564" i="17"/>
  <c r="AF421" i="17"/>
  <c r="AF332" i="17"/>
  <c r="AF312" i="17"/>
  <c r="AF140" i="17"/>
  <c r="AF514" i="17"/>
  <c r="AF301" i="17"/>
  <c r="AF250" i="17"/>
  <c r="AF516" i="17"/>
  <c r="AF613" i="17"/>
  <c r="AF434" i="17"/>
  <c r="AF318" i="17"/>
  <c r="AF298" i="17"/>
  <c r="AF552" i="17"/>
  <c r="AF441" i="17"/>
  <c r="AF352" i="17"/>
  <c r="AF268" i="17"/>
  <c r="AF557" i="17"/>
  <c r="AF371" i="17"/>
  <c r="AF153" i="17"/>
  <c r="AF102" i="17"/>
  <c r="AF496" i="17"/>
  <c r="AF380" i="17"/>
  <c r="AF155" i="17"/>
  <c r="AF104" i="17"/>
  <c r="AF523" i="17"/>
  <c r="AF443" i="17"/>
  <c r="AF257" i="17"/>
  <c r="AF206" i="17"/>
  <c r="AF525" i="17"/>
  <c r="AF509" i="17"/>
  <c r="AF356" i="17"/>
  <c r="AF272" i="17"/>
  <c r="AF252" i="17"/>
  <c r="AF540" i="17"/>
  <c r="AF355" i="17"/>
  <c r="AF137" i="17"/>
  <c r="AF608" i="17"/>
  <c r="AF542" i="17"/>
  <c r="AF357" i="17"/>
  <c r="AF139" i="17"/>
  <c r="AF172" i="17"/>
  <c r="AF519" i="17"/>
  <c r="AF395" i="17"/>
  <c r="AF305" i="17"/>
  <c r="AF254" i="17"/>
  <c r="AF551" i="17"/>
  <c r="AF429" i="17"/>
  <c r="AF340" i="17"/>
  <c r="AF115" i="17"/>
  <c r="AF148" i="17"/>
  <c r="AF19" i="17"/>
  <c r="AE521" i="17"/>
  <c r="AE368" i="17"/>
  <c r="AE246" i="17"/>
  <c r="AE227" i="17"/>
  <c r="AE273" i="17"/>
  <c r="AF61" i="17"/>
  <c r="AE506" i="17"/>
  <c r="AF71" i="17"/>
  <c r="AE541" i="17"/>
  <c r="AE356" i="17"/>
  <c r="AE234" i="17"/>
  <c r="AE151" i="17"/>
  <c r="AF105" i="17"/>
  <c r="AE511" i="17"/>
  <c r="AE537" i="17"/>
  <c r="AF44" i="17"/>
  <c r="AF90" i="17"/>
  <c r="AF43" i="17"/>
  <c r="AE473" i="17"/>
  <c r="AE349" i="17"/>
  <c r="AE190" i="17"/>
  <c r="AE123" i="17"/>
  <c r="AE193" i="17"/>
  <c r="AF52" i="17"/>
  <c r="AE577" i="17"/>
  <c r="AF549" i="17"/>
  <c r="AF363" i="17"/>
  <c r="AF145" i="17"/>
  <c r="AF94" i="17"/>
  <c r="AF488" i="17"/>
  <c r="AF372" i="17"/>
  <c r="AF288" i="17"/>
  <c r="AF116" i="17"/>
  <c r="AE562" i="17"/>
  <c r="AE400" i="17"/>
  <c r="AE214" i="17"/>
  <c r="AE131" i="17"/>
  <c r="AE209" i="17"/>
  <c r="AF28" i="17"/>
  <c r="AE572" i="17"/>
  <c r="AE435" i="17"/>
  <c r="AF39" i="17"/>
  <c r="AE445" i="17"/>
  <c r="AE324" i="17"/>
  <c r="AE170" i="17"/>
  <c r="AE119" i="17"/>
  <c r="AE24" i="17"/>
  <c r="AE598" i="17"/>
  <c r="AE416" i="17"/>
  <c r="AF76" i="17"/>
  <c r="AF74" i="17"/>
  <c r="AE559" i="17"/>
  <c r="AE480" i="17"/>
  <c r="AE381" i="17"/>
  <c r="AE238" i="17"/>
  <c r="AE283" i="17"/>
  <c r="AE19" i="17"/>
  <c r="AE161" i="17"/>
  <c r="AF20" i="17"/>
  <c r="AE607" i="17"/>
  <c r="AE548" i="17"/>
  <c r="AE427" i="17"/>
  <c r="AF95" i="17"/>
  <c r="AE533" i="17"/>
  <c r="AE380" i="17"/>
  <c r="AE194" i="17"/>
  <c r="AE175" i="17"/>
  <c r="AE80" i="17"/>
  <c r="AE603" i="17"/>
  <c r="AE510" i="17"/>
  <c r="AE449" i="17"/>
  <c r="AE392" i="17"/>
  <c r="AE20" i="17"/>
  <c r="AF66" i="17"/>
  <c r="AE198" i="17"/>
  <c r="AE179" i="17"/>
  <c r="AF77" i="17"/>
  <c r="AE419" i="17"/>
  <c r="AF87" i="17"/>
  <c r="AE534" i="17"/>
  <c r="AE468" i="17"/>
  <c r="AE186" i="17"/>
  <c r="AE167" i="17"/>
  <c r="AF57" i="17"/>
  <c r="AF91" i="17"/>
  <c r="AE570" i="17"/>
  <c r="AE235" i="17"/>
  <c r="AE532" i="17"/>
  <c r="AF46" i="17"/>
  <c r="AE498" i="17"/>
  <c r="AE601" i="17"/>
  <c r="AE508" i="17"/>
  <c r="AE385" i="17"/>
  <c r="AE130" i="17"/>
  <c r="AE47" i="17"/>
  <c r="AF33" i="17"/>
  <c r="AE503" i="17"/>
  <c r="AE522" i="17"/>
  <c r="AE397" i="17"/>
  <c r="AE52" i="17"/>
  <c r="AF100" i="17"/>
  <c r="AE294" i="17"/>
  <c r="AE211" i="17"/>
  <c r="AE177" i="17"/>
  <c r="AE588" i="17"/>
  <c r="AF54" i="17"/>
  <c r="AE461" i="17"/>
  <c r="AE340" i="17"/>
  <c r="AE282" i="17"/>
  <c r="AE199" i="17"/>
  <c r="AE104" i="17"/>
  <c r="AF89" i="17"/>
  <c r="AE568" i="17"/>
  <c r="AE431" i="17"/>
  <c r="AE465" i="17"/>
  <c r="AE440" i="17"/>
  <c r="AE139" i="17"/>
  <c r="AE76" i="17"/>
  <c r="AF78" i="17"/>
  <c r="AE604" i="17"/>
  <c r="AE421" i="17"/>
  <c r="AE337" i="17"/>
  <c r="AE287" i="17"/>
  <c r="AE64" i="17"/>
  <c r="AE592" i="17"/>
  <c r="AE382" i="17"/>
  <c r="AE196" i="17"/>
  <c r="AE335" i="17"/>
  <c r="AE285" i="17"/>
  <c r="AE46" i="17"/>
  <c r="AE430" i="17"/>
  <c r="AE124" i="17"/>
  <c r="AE374" i="17"/>
  <c r="AE315" i="17"/>
  <c r="AE346" i="17"/>
  <c r="AE216" i="17"/>
  <c r="AE261" i="17"/>
  <c r="AE133" i="17"/>
  <c r="AE33" i="17"/>
  <c r="AE264" i="17"/>
  <c r="AE305" i="17"/>
  <c r="AE398" i="17"/>
  <c r="AE212" i="17"/>
  <c r="AE109" i="17"/>
  <c r="AE571" i="17"/>
  <c r="AE492" i="17"/>
  <c r="AE369" i="17"/>
  <c r="AE114" i="17"/>
  <c r="AE95" i="17"/>
  <c r="AF80" i="17"/>
  <c r="AE606" i="17"/>
  <c r="AE487" i="17"/>
  <c r="AE350" i="17"/>
  <c r="AE228" i="17"/>
  <c r="AE272" i="17"/>
  <c r="AE253" i="17"/>
  <c r="AE78" i="17"/>
  <c r="AE462" i="17"/>
  <c r="AE86" i="17"/>
  <c r="AE454" i="17"/>
  <c r="AE411" i="17"/>
  <c r="AE252" i="17"/>
  <c r="AE391" i="17"/>
  <c r="AE248" i="17"/>
  <c r="AE309" i="17"/>
  <c r="AE181" i="17"/>
  <c r="AE65" i="17"/>
  <c r="AE296" i="17"/>
  <c r="AE233" i="17"/>
  <c r="AE339" i="17"/>
  <c r="AE383" i="17"/>
  <c r="AE73" i="17"/>
  <c r="AE172" i="17"/>
  <c r="AE160" i="17"/>
  <c r="AE77" i="17"/>
  <c r="AE70" i="17"/>
  <c r="AE300" i="17"/>
  <c r="AE26" i="17"/>
  <c r="AE81" i="17"/>
  <c r="AE121" i="17"/>
  <c r="AF628" i="17"/>
  <c r="C48" i="16" l="1"/>
  <c r="D48" i="16" s="1"/>
  <c r="A376" i="2"/>
  <c r="B247" i="2"/>
  <c r="B72" i="1"/>
  <c r="AE628" i="17"/>
  <c r="D407" i="2" l="1"/>
  <c r="B407" i="2"/>
  <c r="A407" i="2"/>
  <c r="C3" i="8"/>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C159" i="8" l="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33" i="8" s="1"/>
  <c r="C72" i="1" s="1"/>
  <c r="D72" i="1" s="1"/>
  <c r="S34" i="8"/>
  <c r="C73" i="1" s="1"/>
  <c r="D73" i="1" s="1"/>
  <c r="R34" i="8"/>
  <c r="B249" i="2" l="1"/>
  <c r="B409" i="2" s="1"/>
  <c r="C40" i="16"/>
  <c r="D40" i="16" s="1"/>
  <c r="R33" i="8"/>
  <c r="B248" i="2" l="1"/>
  <c r="B408" i="2"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R28" i="8" s="1"/>
  <c r="S28" i="8" s="1"/>
  <c r="C41" i="16"/>
  <c r="D41" i="16" s="1"/>
  <c r="C10" i="28" l="1"/>
  <c r="A408" i="2"/>
  <c r="B252" i="2"/>
  <c r="F72" i="1" s="1"/>
  <c r="B235" i="2"/>
  <c r="F71" i="1" s="1"/>
  <c r="R27" i="8"/>
  <c r="S27" i="8" s="1"/>
  <c r="K12" i="29" s="1"/>
  <c r="R23" i="8"/>
  <c r="S23" i="8" s="1"/>
  <c r="A409" i="2"/>
  <c r="B236" i="2"/>
  <c r="B253" i="2"/>
  <c r="C9" i="28" l="1"/>
  <c r="C4" i="17"/>
  <c r="K190" i="17" s="1"/>
  <c r="E64" i="1"/>
  <c r="C5" i="17"/>
  <c r="J594" i="17" s="1"/>
  <c r="T16" i="27"/>
  <c r="C11" i="28"/>
  <c r="T48" i="27"/>
  <c r="T37" i="27"/>
  <c r="T36" i="27"/>
  <c r="T80" i="27"/>
  <c r="T20" i="27"/>
  <c r="T95" i="27"/>
  <c r="T19" i="27"/>
  <c r="T40" i="27"/>
  <c r="T89" i="27"/>
  <c r="T25" i="27"/>
  <c r="T94" i="27"/>
  <c r="T44" i="27"/>
  <c r="T83" i="27"/>
  <c r="T35" i="27"/>
  <c r="T86" i="27"/>
  <c r="T34" i="27"/>
  <c r="T18" i="27"/>
  <c r="T24" i="27"/>
  <c r="T85" i="27"/>
  <c r="T49" i="27"/>
  <c r="T47" i="27"/>
  <c r="T46" i="27"/>
  <c r="T81" i="27"/>
  <c r="T43" i="27"/>
  <c r="T23" i="27"/>
  <c r="T26" i="27"/>
  <c r="T21" i="27"/>
  <c r="T41" i="27"/>
  <c r="T90" i="27"/>
  <c r="T31" i="27"/>
  <c r="T84" i="27"/>
  <c r="T32" i="27"/>
  <c r="T91" i="27"/>
  <c r="C7" i="17"/>
  <c r="F73" i="1"/>
  <c r="A629" i="17"/>
  <c r="A627" i="17"/>
  <c r="L403" i="17" l="1"/>
  <c r="K386" i="17"/>
  <c r="L173" i="17"/>
  <c r="K129" i="17"/>
  <c r="L265" i="17"/>
  <c r="K180" i="17"/>
  <c r="L538" i="17"/>
  <c r="L79" i="17"/>
  <c r="L484" i="17"/>
  <c r="L123" i="17"/>
  <c r="K272" i="17"/>
  <c r="K400" i="17"/>
  <c r="L122" i="17"/>
  <c r="L389" i="17"/>
  <c r="K470" i="17"/>
  <c r="V18" i="27"/>
  <c r="W18" i="27" s="1"/>
  <c r="Z18" i="27"/>
  <c r="V83" i="27"/>
  <c r="X83" i="27" s="1"/>
  <c r="Z83" i="27"/>
  <c r="V89" i="27"/>
  <c r="X89" i="27" s="1"/>
  <c r="Z89" i="27"/>
  <c r="V20" i="27"/>
  <c r="W20" i="27" s="1"/>
  <c r="Z20" i="27"/>
  <c r="V48" i="27"/>
  <c r="X48" i="27" s="1"/>
  <c r="Z48" i="27"/>
  <c r="V91" i="27"/>
  <c r="X91" i="27" s="1"/>
  <c r="Z91" i="27"/>
  <c r="V47" i="27"/>
  <c r="W47" i="27" s="1"/>
  <c r="Z47" i="27"/>
  <c r="V41" i="27"/>
  <c r="W41" i="27" s="1"/>
  <c r="Z41" i="27"/>
  <c r="V43" i="27"/>
  <c r="X43" i="27" s="1"/>
  <c r="Z43" i="27"/>
  <c r="V49" i="27"/>
  <c r="X49" i="27" s="1"/>
  <c r="Z49" i="27"/>
  <c r="V34" i="27"/>
  <c r="X34" i="27" s="1"/>
  <c r="Z34" i="27"/>
  <c r="V44" i="27"/>
  <c r="X44" i="27" s="1"/>
  <c r="Z44" i="27"/>
  <c r="V40" i="27"/>
  <c r="X40" i="27" s="1"/>
  <c r="Z40" i="27"/>
  <c r="V80" i="27"/>
  <c r="X80" i="27" s="1"/>
  <c r="Z80" i="27"/>
  <c r="V23" i="27"/>
  <c r="W23" i="27" s="1"/>
  <c r="Z23" i="27"/>
  <c r="V84" i="27"/>
  <c r="X84" i="27" s="1"/>
  <c r="Z84" i="27"/>
  <c r="V21" i="27"/>
  <c r="W21" i="27" s="1"/>
  <c r="Z21" i="27"/>
  <c r="V81" i="27"/>
  <c r="W81" i="27" s="1"/>
  <c r="Z81" i="27"/>
  <c r="V85" i="27"/>
  <c r="W85" i="27" s="1"/>
  <c r="Z85" i="27"/>
  <c r="V86" i="27"/>
  <c r="W86" i="27" s="1"/>
  <c r="Z86" i="27"/>
  <c r="V94" i="27"/>
  <c r="W94" i="27" s="1"/>
  <c r="Z94" i="27"/>
  <c r="V19" i="27"/>
  <c r="W19" i="27" s="1"/>
  <c r="Z19" i="27"/>
  <c r="V36" i="27"/>
  <c r="W36" i="27" s="1"/>
  <c r="Z36" i="27"/>
  <c r="V16" i="27"/>
  <c r="X16" i="27" s="1"/>
  <c r="Z16" i="27"/>
  <c r="V90" i="27"/>
  <c r="W90" i="27" s="1"/>
  <c r="Z90" i="27"/>
  <c r="V32" i="27"/>
  <c r="W32" i="27" s="1"/>
  <c r="Z32" i="27"/>
  <c r="V31" i="27"/>
  <c r="W31" i="27" s="1"/>
  <c r="Z31" i="27"/>
  <c r="V26" i="27"/>
  <c r="W26" i="27" s="1"/>
  <c r="Z26" i="27"/>
  <c r="V46" i="27"/>
  <c r="W46" i="27" s="1"/>
  <c r="Z46" i="27"/>
  <c r="V24" i="27"/>
  <c r="W24" i="27" s="1"/>
  <c r="Z24" i="27"/>
  <c r="V35" i="27"/>
  <c r="W35" i="27" s="1"/>
  <c r="Z35" i="27"/>
  <c r="V25" i="27"/>
  <c r="X25" i="27" s="1"/>
  <c r="Z25" i="27"/>
  <c r="V95" i="27"/>
  <c r="W95" i="27" s="1"/>
  <c r="Z95" i="27"/>
  <c r="V37" i="27"/>
  <c r="X37" i="27" s="1"/>
  <c r="Z37" i="27"/>
  <c r="L561" i="17"/>
  <c r="K257" i="17"/>
  <c r="L250" i="17"/>
  <c r="L80" i="17"/>
  <c r="L592" i="17"/>
  <c r="K481" i="17"/>
  <c r="K65" i="17"/>
  <c r="L567" i="17"/>
  <c r="K308" i="17"/>
  <c r="L301" i="17"/>
  <c r="K109" i="17"/>
  <c r="K514" i="17"/>
  <c r="L430" i="17"/>
  <c r="K221" i="17"/>
  <c r="L473" i="17"/>
  <c r="L236" i="17"/>
  <c r="L609" i="17"/>
  <c r="K606" i="17"/>
  <c r="L372" i="17"/>
  <c r="K116" i="17"/>
  <c r="K365" i="17"/>
  <c r="L314" i="17"/>
  <c r="K45" i="17"/>
  <c r="L16" i="17"/>
  <c r="K450" i="17"/>
  <c r="K564" i="17"/>
  <c r="L453" i="17"/>
  <c r="L331" i="17"/>
  <c r="K144" i="17"/>
  <c r="L294" i="17"/>
  <c r="L548" i="17"/>
  <c r="L463" i="17"/>
  <c r="L428" i="17"/>
  <c r="K425" i="17"/>
  <c r="K244" i="17"/>
  <c r="K193" i="17"/>
  <c r="L237" i="17"/>
  <c r="L186" i="17"/>
  <c r="L47" i="17"/>
  <c r="L410" i="17"/>
  <c r="K475" i="17"/>
  <c r="L325" i="17"/>
  <c r="L571" i="17"/>
  <c r="K320" i="17"/>
  <c r="K393" i="17"/>
  <c r="L36" i="17"/>
  <c r="K527" i="17"/>
  <c r="K545" i="17"/>
  <c r="L467" i="17"/>
  <c r="K592" i="17"/>
  <c r="K464" i="17"/>
  <c r="L340" i="17"/>
  <c r="K212" i="17"/>
  <c r="K289" i="17"/>
  <c r="K161" i="17"/>
  <c r="K333" i="17"/>
  <c r="L205" i="17"/>
  <c r="L282" i="17"/>
  <c r="L154" i="17"/>
  <c r="K77" i="17"/>
  <c r="L63" i="17"/>
  <c r="L48" i="17"/>
  <c r="K354" i="17"/>
  <c r="K482" i="17"/>
  <c r="K507" i="17"/>
  <c r="L560" i="17"/>
  <c r="L357" i="17"/>
  <c r="L485" i="17"/>
  <c r="K582" i="17"/>
  <c r="K576" i="17"/>
  <c r="L336" i="17"/>
  <c r="K285" i="17"/>
  <c r="K329" i="17"/>
  <c r="L166" i="17"/>
  <c r="K342" i="17"/>
  <c r="L345" i="17"/>
  <c r="K243" i="17"/>
  <c r="L541" i="17"/>
  <c r="L492" i="17"/>
  <c r="L339" i="17"/>
  <c r="K489" i="17"/>
  <c r="K336" i="17"/>
  <c r="K276" i="17"/>
  <c r="K148" i="17"/>
  <c r="K225" i="17"/>
  <c r="K397" i="17"/>
  <c r="L269" i="17"/>
  <c r="L141" i="17"/>
  <c r="L218" i="17"/>
  <c r="K13" i="17"/>
  <c r="L31" i="17"/>
  <c r="L95" i="17"/>
  <c r="K622" i="17"/>
  <c r="K418" i="17"/>
  <c r="K443" i="17"/>
  <c r="K522" i="17"/>
  <c r="K605" i="17"/>
  <c r="L421" i="17"/>
  <c r="L494" i="17"/>
  <c r="L459" i="17"/>
  <c r="K456" i="17"/>
  <c r="K208" i="17"/>
  <c r="K157" i="17"/>
  <c r="L201" i="17"/>
  <c r="L57" i="17"/>
  <c r="K495" i="17"/>
  <c r="L506" i="17"/>
  <c r="K412" i="17"/>
  <c r="L539" i="17"/>
  <c r="L460" i="17"/>
  <c r="L435" i="17"/>
  <c r="K409" i="17"/>
  <c r="K536" i="17"/>
  <c r="K457" i="17"/>
  <c r="K432" i="17"/>
  <c r="L390" i="17"/>
  <c r="L324" i="17"/>
  <c r="K260" i="17"/>
  <c r="K196" i="17"/>
  <c r="K132" i="17"/>
  <c r="K273" i="17"/>
  <c r="K209" i="17"/>
  <c r="K145" i="17"/>
  <c r="K381" i="17"/>
  <c r="K317" i="17"/>
  <c r="L253" i="17"/>
  <c r="L189" i="17"/>
  <c r="L125" i="17"/>
  <c r="L266" i="17"/>
  <c r="L202" i="17"/>
  <c r="L138" i="17"/>
  <c r="K29" i="17"/>
  <c r="K93" i="17"/>
  <c r="L39" i="17"/>
  <c r="L71" i="17"/>
  <c r="L103" i="17"/>
  <c r="L64" i="17"/>
  <c r="L392" i="17"/>
  <c r="K370" i="17"/>
  <c r="K434" i="17"/>
  <c r="K498" i="17"/>
  <c r="K459" i="17"/>
  <c r="L522" i="17"/>
  <c r="K538" i="17"/>
  <c r="L576" i="17"/>
  <c r="K411" i="17"/>
  <c r="L373" i="17"/>
  <c r="L437" i="17"/>
  <c r="L509" i="17"/>
  <c r="K525" i="17"/>
  <c r="L551" i="17"/>
  <c r="L395" i="17"/>
  <c r="L545" i="17"/>
  <c r="K392" i="17"/>
  <c r="K304" i="17"/>
  <c r="K176" i="17"/>
  <c r="K253" i="17"/>
  <c r="K125" i="17"/>
  <c r="L297" i="17"/>
  <c r="L153" i="17"/>
  <c r="L114" i="17"/>
  <c r="L89" i="17"/>
  <c r="K406" i="17"/>
  <c r="L573" i="17"/>
  <c r="L409" i="17"/>
  <c r="K551" i="17"/>
  <c r="L287" i="17"/>
  <c r="K135" i="17"/>
  <c r="K74" i="17"/>
  <c r="K577" i="17"/>
  <c r="K523" i="17"/>
  <c r="L499" i="17"/>
  <c r="L371" i="17"/>
  <c r="L574" i="17"/>
  <c r="L520" i="17"/>
  <c r="K496" i="17"/>
  <c r="K368" i="17"/>
  <c r="L356" i="17"/>
  <c r="K292" i="17"/>
  <c r="K228" i="17"/>
  <c r="K164" i="17"/>
  <c r="K305" i="17"/>
  <c r="K241" i="17"/>
  <c r="K177" i="17"/>
  <c r="K318" i="17"/>
  <c r="K349" i="17"/>
  <c r="L285" i="17"/>
  <c r="L221" i="17"/>
  <c r="L157" i="17"/>
  <c r="L298" i="17"/>
  <c r="L234" i="17"/>
  <c r="L170" i="17"/>
  <c r="K121" i="17"/>
  <c r="K61" i="17"/>
  <c r="L23" i="17"/>
  <c r="L55" i="17"/>
  <c r="L87" i="17"/>
  <c r="L32" i="17"/>
  <c r="L96" i="17"/>
  <c r="K338" i="17"/>
  <c r="K402" i="17"/>
  <c r="K466" i="17"/>
  <c r="K427" i="17"/>
  <c r="K491" i="17"/>
  <c r="L565" i="17"/>
  <c r="L544" i="17"/>
  <c r="K608" i="17"/>
  <c r="L341" i="17"/>
  <c r="L405" i="17"/>
  <c r="L469" i="17"/>
  <c r="L462" i="17"/>
  <c r="L601" i="17"/>
  <c r="L420" i="17"/>
  <c r="K598" i="17"/>
  <c r="K417" i="17"/>
  <c r="L368" i="17"/>
  <c r="K240" i="17"/>
  <c r="K112" i="17"/>
  <c r="K189" i="17"/>
  <c r="K361" i="17"/>
  <c r="L233" i="17"/>
  <c r="L230" i="17"/>
  <c r="L25" i="17"/>
  <c r="L100" i="17"/>
  <c r="K431" i="17"/>
  <c r="K612" i="17"/>
  <c r="L434" i="17"/>
  <c r="L524" i="17"/>
  <c r="L94" i="17"/>
  <c r="L50" i="17"/>
  <c r="K52" i="17"/>
  <c r="K294" i="17"/>
  <c r="K22" i="17"/>
  <c r="L128" i="17"/>
  <c r="L610" i="17"/>
  <c r="K492" i="17"/>
  <c r="L559" i="17"/>
  <c r="K183" i="17"/>
  <c r="L70" i="17"/>
  <c r="L260" i="17"/>
  <c r="K267" i="17"/>
  <c r="K524" i="17"/>
  <c r="K547" i="17"/>
  <c r="K143" i="17"/>
  <c r="K517" i="17"/>
  <c r="K331" i="17"/>
  <c r="K584" i="17"/>
  <c r="K108" i="17"/>
  <c r="K39" i="17"/>
  <c r="L115" i="17"/>
  <c r="K371" i="17"/>
  <c r="K122" i="17"/>
  <c r="L378" i="17"/>
  <c r="K599" i="17"/>
  <c r="L602" i="17"/>
  <c r="K102" i="17"/>
  <c r="K38" i="17"/>
  <c r="K27" i="17"/>
  <c r="L204" i="17"/>
  <c r="L127" i="17"/>
  <c r="L255" i="17"/>
  <c r="K383" i="17"/>
  <c r="K211" i="17"/>
  <c r="K134" i="17"/>
  <c r="K262" i="17"/>
  <c r="L394" i="17"/>
  <c r="K461" i="17"/>
  <c r="K413" i="17"/>
  <c r="L464" i="17"/>
  <c r="L612" i="17"/>
  <c r="K567" i="17"/>
  <c r="L529" i="17"/>
  <c r="K521" i="17"/>
  <c r="L474" i="17"/>
  <c r="L442" i="17"/>
  <c r="L513" i="17"/>
  <c r="L481" i="17"/>
  <c r="L449" i="17"/>
  <c r="L417" i="17"/>
  <c r="L385" i="17"/>
  <c r="L353" i="17"/>
  <c r="L321" i="17"/>
  <c r="K601" i="17"/>
  <c r="L588" i="17"/>
  <c r="L556" i="17"/>
  <c r="K556" i="17"/>
  <c r="L589" i="17"/>
  <c r="L534" i="17"/>
  <c r="K503" i="17"/>
  <c r="K471" i="17"/>
  <c r="K439" i="17"/>
  <c r="K510" i="17"/>
  <c r="K478" i="17"/>
  <c r="K446" i="17"/>
  <c r="K414" i="17"/>
  <c r="K382" i="17"/>
  <c r="K350" i="17"/>
  <c r="L404" i="17"/>
  <c r="L108" i="17"/>
  <c r="L76" i="17"/>
  <c r="L44" i="17"/>
  <c r="L109" i="17"/>
  <c r="L93" i="17"/>
  <c r="L77" i="17"/>
  <c r="L61" i="17"/>
  <c r="L45" i="17"/>
  <c r="L29" i="17"/>
  <c r="K105" i="17"/>
  <c r="K73" i="17"/>
  <c r="K41" i="17"/>
  <c r="K16" i="17"/>
  <c r="L126" i="17"/>
  <c r="L158" i="17"/>
  <c r="L190" i="17"/>
  <c r="L222" i="17"/>
  <c r="L254" i="17"/>
  <c r="L286" i="17"/>
  <c r="L113" i="17"/>
  <c r="L145" i="17"/>
  <c r="L177" i="17"/>
  <c r="K315" i="17"/>
  <c r="L299" i="17"/>
  <c r="L176" i="17"/>
  <c r="K508" i="17"/>
  <c r="K99" i="17"/>
  <c r="L311" i="17"/>
  <c r="L318" i="17"/>
  <c r="L527" i="17"/>
  <c r="K130" i="17"/>
  <c r="L232" i="17"/>
  <c r="K79" i="17"/>
  <c r="L338" i="17"/>
  <c r="K590" i="17"/>
  <c r="K44" i="17"/>
  <c r="L192" i="17"/>
  <c r="L243" i="17"/>
  <c r="K199" i="17"/>
  <c r="K250" i="17"/>
  <c r="K437" i="17"/>
  <c r="L440" i="17"/>
  <c r="L62" i="17"/>
  <c r="K70" i="17"/>
  <c r="K91" i="17"/>
  <c r="L140" i="17"/>
  <c r="L268" i="17"/>
  <c r="L191" i="17"/>
  <c r="K319" i="17"/>
  <c r="K147" i="17"/>
  <c r="K275" i="17"/>
  <c r="K198" i="17"/>
  <c r="L326" i="17"/>
  <c r="K436" i="17"/>
  <c r="K540" i="17"/>
  <c r="L439" i="17"/>
  <c r="L543" i="17"/>
  <c r="L599" i="17"/>
  <c r="K578" i="17"/>
  <c r="L563" i="17"/>
  <c r="L490" i="17"/>
  <c r="L458" i="17"/>
  <c r="L426" i="17"/>
  <c r="L497" i="17"/>
  <c r="L465" i="17"/>
  <c r="L433" i="17"/>
  <c r="L401" i="17"/>
  <c r="L369" i="17"/>
  <c r="L337" i="17"/>
  <c r="K407" i="17"/>
  <c r="K604" i="17"/>
  <c r="L572" i="17"/>
  <c r="K588" i="17"/>
  <c r="K534" i="17"/>
  <c r="L557" i="17"/>
  <c r="L518" i="17"/>
  <c r="K487" i="17"/>
  <c r="K455" i="17"/>
  <c r="K423" i="17"/>
  <c r="K494" i="17"/>
  <c r="K462" i="17"/>
  <c r="K430" i="17"/>
  <c r="K398" i="17"/>
  <c r="K366" i="17"/>
  <c r="K332" i="17"/>
  <c r="L388" i="17"/>
  <c r="L92" i="17"/>
  <c r="L60" i="17"/>
  <c r="L28" i="17"/>
  <c r="L101" i="17"/>
  <c r="L85" i="17"/>
  <c r="L69" i="17"/>
  <c r="L53" i="17"/>
  <c r="L37" i="17"/>
  <c r="L21" i="17"/>
  <c r="K89" i="17"/>
  <c r="K57" i="17"/>
  <c r="K25" i="17"/>
  <c r="K113" i="17"/>
  <c r="L142" i="17"/>
  <c r="L174" i="17"/>
  <c r="L206" i="17"/>
  <c r="L238" i="17"/>
  <c r="L270" i="17"/>
  <c r="L302" i="17"/>
  <c r="L129" i="17"/>
  <c r="L161" i="17"/>
  <c r="K306" i="17"/>
  <c r="L511" i="17"/>
  <c r="K139" i="17"/>
  <c r="L603" i="17"/>
  <c r="K239" i="17"/>
  <c r="K460" i="17"/>
  <c r="K103" i="17"/>
  <c r="L307" i="17"/>
  <c r="K314" i="17"/>
  <c r="L591" i="17"/>
  <c r="K54" i="17"/>
  <c r="L172" i="17"/>
  <c r="L223" i="17"/>
  <c r="K179" i="17"/>
  <c r="K230" i="17"/>
  <c r="K500" i="17"/>
  <c r="L503" i="17"/>
  <c r="K583" i="17"/>
  <c r="K537" i="17"/>
  <c r="L450" i="17"/>
  <c r="L489" i="17"/>
  <c r="L425" i="17"/>
  <c r="L361" i="17"/>
  <c r="K609" i="17"/>
  <c r="L564" i="17"/>
  <c r="K526" i="17"/>
  <c r="K511" i="17"/>
  <c r="K447" i="17"/>
  <c r="K486" i="17"/>
  <c r="K422" i="17"/>
  <c r="K358" i="17"/>
  <c r="L626" i="17"/>
  <c r="L52" i="17"/>
  <c r="L97" i="17"/>
  <c r="L65" i="17"/>
  <c r="L33" i="17"/>
  <c r="K81" i="17"/>
  <c r="K17" i="17"/>
  <c r="L150" i="17"/>
  <c r="L214" i="17"/>
  <c r="L278" i="17"/>
  <c r="L137" i="17"/>
  <c r="L193" i="17"/>
  <c r="L225" i="17"/>
  <c r="L257" i="17"/>
  <c r="L289" i="17"/>
  <c r="K321" i="17"/>
  <c r="K353" i="17"/>
  <c r="K385" i="17"/>
  <c r="K326" i="17"/>
  <c r="K149" i="17"/>
  <c r="K181" i="17"/>
  <c r="K213" i="17"/>
  <c r="K245" i="17"/>
  <c r="K277" i="17"/>
  <c r="K309" i="17"/>
  <c r="K136" i="17"/>
  <c r="K168" i="17"/>
  <c r="K200" i="17"/>
  <c r="K232" i="17"/>
  <c r="K264" i="17"/>
  <c r="K296" i="17"/>
  <c r="L328" i="17"/>
  <c r="L360" i="17"/>
  <c r="L398" i="17"/>
  <c r="K376" i="17"/>
  <c r="K440" i="17"/>
  <c r="K504" i="17"/>
  <c r="K465" i="17"/>
  <c r="L528" i="17"/>
  <c r="K544" i="17"/>
  <c r="L582" i="17"/>
  <c r="L315" i="17"/>
  <c r="L379" i="17"/>
  <c r="L443" i="17"/>
  <c r="L507" i="17"/>
  <c r="L468" i="17"/>
  <c r="K531" i="17"/>
  <c r="K550" i="17"/>
  <c r="K585" i="17"/>
  <c r="L587" i="17"/>
  <c r="K533" i="17"/>
  <c r="L502" i="17"/>
  <c r="L470" i="17"/>
  <c r="L438" i="17"/>
  <c r="L168" i="17"/>
  <c r="L227" i="17"/>
  <c r="L132" i="17"/>
  <c r="K420" i="17"/>
  <c r="L456" i="17"/>
  <c r="L280" i="17"/>
  <c r="L74" i="17"/>
  <c r="L256" i="17"/>
  <c r="K263" i="17"/>
  <c r="L585" i="17"/>
  <c r="L30" i="17"/>
  <c r="K59" i="17"/>
  <c r="L300" i="17"/>
  <c r="K351" i="17"/>
  <c r="K307" i="17"/>
  <c r="L358" i="17"/>
  <c r="L578" i="17"/>
  <c r="K581" i="17"/>
  <c r="K546" i="17"/>
  <c r="L482" i="17"/>
  <c r="L418" i="17"/>
  <c r="L457" i="17"/>
  <c r="L393" i="17"/>
  <c r="L329" i="17"/>
  <c r="K596" i="17"/>
  <c r="K572" i="17"/>
  <c r="L542" i="17"/>
  <c r="K479" i="17"/>
  <c r="K518" i="17"/>
  <c r="K454" i="17"/>
  <c r="K390" i="17"/>
  <c r="K316" i="17"/>
  <c r="L84" i="17"/>
  <c r="L20" i="17"/>
  <c r="L81" i="17"/>
  <c r="L49" i="17"/>
  <c r="L15" i="17"/>
  <c r="K49" i="17"/>
  <c r="L118" i="17"/>
  <c r="L182" i="17"/>
  <c r="L246" i="17"/>
  <c r="L310" i="17"/>
  <c r="L169" i="17"/>
  <c r="L209" i="17"/>
  <c r="L241" i="17"/>
  <c r="L273" i="17"/>
  <c r="L305" i="17"/>
  <c r="K337" i="17"/>
  <c r="K369" i="17"/>
  <c r="K401" i="17"/>
  <c r="K133" i="17"/>
  <c r="K165" i="17"/>
  <c r="K197" i="17"/>
  <c r="K229" i="17"/>
  <c r="K261" i="17"/>
  <c r="K293" i="17"/>
  <c r="K120" i="17"/>
  <c r="K152" i="17"/>
  <c r="K184" i="17"/>
  <c r="K216" i="17"/>
  <c r="K248" i="17"/>
  <c r="K280" i="17"/>
  <c r="K312" i="17"/>
  <c r="L344" i="17"/>
  <c r="L376" i="17"/>
  <c r="K344" i="17"/>
  <c r="K408" i="17"/>
  <c r="K472" i="17"/>
  <c r="K433" i="17"/>
  <c r="K497" i="17"/>
  <c r="L577" i="17"/>
  <c r="L550" i="17"/>
  <c r="K595" i="17"/>
  <c r="L347" i="17"/>
  <c r="L411" i="17"/>
  <c r="L475" i="17"/>
  <c r="L436" i="17"/>
  <c r="L500" i="17"/>
  <c r="L583" i="17"/>
  <c r="K553" i="17"/>
  <c r="L598" i="17"/>
  <c r="L555" i="17"/>
  <c r="L519" i="17"/>
  <c r="L486" i="17"/>
  <c r="L454" i="17"/>
  <c r="L422" i="17"/>
  <c r="L493" i="17"/>
  <c r="K593" i="17"/>
  <c r="K566" i="17"/>
  <c r="K539" i="17"/>
  <c r="L476" i="17"/>
  <c r="L515" i="17"/>
  <c r="L451" i="17"/>
  <c r="L387" i="17"/>
  <c r="L323" i="17"/>
  <c r="L590" i="17"/>
  <c r="K560" i="17"/>
  <c r="L536" i="17"/>
  <c r="K473" i="17"/>
  <c r="K512" i="17"/>
  <c r="K448" i="17"/>
  <c r="K384" i="17"/>
  <c r="L406" i="17"/>
  <c r="L364" i="17"/>
  <c r="L332" i="17"/>
  <c r="K300" i="17"/>
  <c r="K268" i="17"/>
  <c r="K236" i="17"/>
  <c r="K204" i="17"/>
  <c r="K172" i="17"/>
  <c r="K140" i="17"/>
  <c r="K313" i="17"/>
  <c r="K281" i="17"/>
  <c r="K249" i="17"/>
  <c r="K217" i="17"/>
  <c r="K185" i="17"/>
  <c r="K153" i="17"/>
  <c r="K334" i="17"/>
  <c r="K389" i="17"/>
  <c r="K357" i="17"/>
  <c r="K325" i="17"/>
  <c r="L293" i="17"/>
  <c r="L261" i="17"/>
  <c r="L229" i="17"/>
  <c r="L197" i="17"/>
  <c r="L165" i="17"/>
  <c r="L133" i="17"/>
  <c r="L306" i="17"/>
  <c r="L274" i="17"/>
  <c r="L242" i="17"/>
  <c r="L210" i="17"/>
  <c r="L178" i="17"/>
  <c r="L146" i="17"/>
  <c r="K119" i="17"/>
  <c r="K21" i="17"/>
  <c r="K53" i="17"/>
  <c r="K85" i="17"/>
  <c r="L19" i="17"/>
  <c r="L35" i="17"/>
  <c r="L51" i="17"/>
  <c r="L67" i="17"/>
  <c r="L83" i="17"/>
  <c r="L99" i="17"/>
  <c r="L24" i="17"/>
  <c r="L56" i="17"/>
  <c r="L88" i="17"/>
  <c r="L623" i="17"/>
  <c r="K324" i="17"/>
  <c r="K362" i="17"/>
  <c r="K394" i="17"/>
  <c r="K426" i="17"/>
  <c r="K458" i="17"/>
  <c r="K490" i="17"/>
  <c r="K419" i="17"/>
  <c r="K451" i="17"/>
  <c r="K483" i="17"/>
  <c r="K515" i="17"/>
  <c r="L549" i="17"/>
  <c r="K530" i="17"/>
  <c r="K580" i="17"/>
  <c r="L568" i="17"/>
  <c r="K600" i="17"/>
  <c r="K613" i="17"/>
  <c r="L333" i="17"/>
  <c r="L365" i="17"/>
  <c r="L397" i="17"/>
  <c r="L429" i="17"/>
  <c r="L461" i="17"/>
  <c r="L501" i="17"/>
  <c r="L446" i="17"/>
  <c r="L510" i="17"/>
  <c r="A625" i="17"/>
  <c r="P625" i="17" s="1"/>
  <c r="L531" i="17"/>
  <c r="L452" i="17"/>
  <c r="L427" i="17"/>
  <c r="K611" i="17"/>
  <c r="K528" i="17"/>
  <c r="K449" i="17"/>
  <c r="K424" i="17"/>
  <c r="L384" i="17"/>
  <c r="L320" i="17"/>
  <c r="K256" i="17"/>
  <c r="K192" i="17"/>
  <c r="K128" i="17"/>
  <c r="K269" i="17"/>
  <c r="K205" i="17"/>
  <c r="K141" i="17"/>
  <c r="K377" i="17"/>
  <c r="L313" i="17"/>
  <c r="L249" i="17"/>
  <c r="L185" i="17"/>
  <c r="L262" i="17"/>
  <c r="L134" i="17"/>
  <c r="K97" i="17"/>
  <c r="L73" i="17"/>
  <c r="L68" i="17"/>
  <c r="K374" i="17"/>
  <c r="K502" i="17"/>
  <c r="L526" i="17"/>
  <c r="L580" i="17"/>
  <c r="L377" i="17"/>
  <c r="L505" i="17"/>
  <c r="L525" i="17"/>
  <c r="L375" i="17"/>
  <c r="K166" i="17"/>
  <c r="L159" i="17"/>
  <c r="K86" i="17"/>
  <c r="K186" i="17"/>
  <c r="K76" i="17"/>
  <c r="L98" i="17"/>
  <c r="L183" i="17"/>
  <c r="L13" i="17"/>
  <c r="L606" i="17"/>
  <c r="K561" i="17"/>
  <c r="L523" i="17"/>
  <c r="L508" i="17"/>
  <c r="L444" i="17"/>
  <c r="L483" i="17"/>
  <c r="L419" i="17"/>
  <c r="L355" i="17"/>
  <c r="K603" i="17"/>
  <c r="L558" i="17"/>
  <c r="L593" i="17"/>
  <c r="K505" i="17"/>
  <c r="K441" i="17"/>
  <c r="K480" i="17"/>
  <c r="K416" i="17"/>
  <c r="K352" i="17"/>
  <c r="L380" i="17"/>
  <c r="L348" i="17"/>
  <c r="L316" i="17"/>
  <c r="K284" i="17"/>
  <c r="K252" i="17"/>
  <c r="K220" i="17"/>
  <c r="K188" i="17"/>
  <c r="K156" i="17"/>
  <c r="K124" i="17"/>
  <c r="K297" i="17"/>
  <c r="K265" i="17"/>
  <c r="K233" i="17"/>
  <c r="K201" i="17"/>
  <c r="K169" i="17"/>
  <c r="K137" i="17"/>
  <c r="K405" i="17"/>
  <c r="K373" i="17"/>
  <c r="K341" i="17"/>
  <c r="L309" i="17"/>
  <c r="L277" i="17"/>
  <c r="L245" i="17"/>
  <c r="L213" i="17"/>
  <c r="L181" i="17"/>
  <c r="L149" i="17"/>
  <c r="L117" i="17"/>
  <c r="L290" i="17"/>
  <c r="L258" i="17"/>
  <c r="L226" i="17"/>
  <c r="L194" i="17"/>
  <c r="L162" i="17"/>
  <c r="L130" i="17"/>
  <c r="L110" i="17"/>
  <c r="K37" i="17"/>
  <c r="K69" i="17"/>
  <c r="K101" i="17"/>
  <c r="L27" i="17"/>
  <c r="L43" i="17"/>
  <c r="L59" i="17"/>
  <c r="L75" i="17"/>
  <c r="L91" i="17"/>
  <c r="L107" i="17"/>
  <c r="L40" i="17"/>
  <c r="L72" i="17"/>
  <c r="L104" i="17"/>
  <c r="L400" i="17"/>
  <c r="K346" i="17"/>
  <c r="K378" i="17"/>
  <c r="K410" i="17"/>
  <c r="K442" i="17"/>
  <c r="K474" i="17"/>
  <c r="K506" i="17"/>
  <c r="K435" i="17"/>
  <c r="K467" i="17"/>
  <c r="K499" i="17"/>
  <c r="L530" i="17"/>
  <c r="L581" i="17"/>
  <c r="K548" i="17"/>
  <c r="L552" i="17"/>
  <c r="L584" i="17"/>
  <c r="K597" i="17"/>
  <c r="L317" i="17"/>
  <c r="L349" i="17"/>
  <c r="L381" i="17"/>
  <c r="L413" i="17"/>
  <c r="L445" i="17"/>
  <c r="L477" i="17"/>
  <c r="L517" i="17"/>
  <c r="L478" i="17"/>
  <c r="K541" i="17"/>
  <c r="K569" i="17"/>
  <c r="L516" i="17"/>
  <c r="L491" i="17"/>
  <c r="L363" i="17"/>
  <c r="L566" i="17"/>
  <c r="K513" i="17"/>
  <c r="K488" i="17"/>
  <c r="K360" i="17"/>
  <c r="L352" i="17"/>
  <c r="K288" i="17"/>
  <c r="K224" i="17"/>
  <c r="K160" i="17"/>
  <c r="K301" i="17"/>
  <c r="K237" i="17"/>
  <c r="K173" i="17"/>
  <c r="L412" i="17"/>
  <c r="K345" i="17"/>
  <c r="L281" i="17"/>
  <c r="L217" i="17"/>
  <c r="L121" i="17"/>
  <c r="L198" i="17"/>
  <c r="K33" i="17"/>
  <c r="L41" i="17"/>
  <c r="L105" i="17"/>
  <c r="L396" i="17"/>
  <c r="K438" i="17"/>
  <c r="K463" i="17"/>
  <c r="K542" i="17"/>
  <c r="K415" i="17"/>
  <c r="L441" i="17"/>
  <c r="L466" i="17"/>
  <c r="L596" i="17"/>
  <c r="K372" i="17"/>
  <c r="K322" i="17"/>
  <c r="K111" i="17"/>
  <c r="L415" i="17"/>
  <c r="L179" i="17"/>
  <c r="K287" i="17"/>
  <c r="L423" i="17"/>
  <c r="K234" i="17"/>
  <c r="L498" i="17"/>
  <c r="K529" i="17"/>
  <c r="L579" i="17"/>
  <c r="L537" i="17"/>
  <c r="K594" i="17"/>
  <c r="K575" i="17"/>
  <c r="L607" i="17"/>
  <c r="L613" i="17"/>
  <c r="L575" i="17"/>
  <c r="L432" i="17"/>
  <c r="L407" i="17"/>
  <c r="K610" i="17"/>
  <c r="L569" i="17"/>
  <c r="K429" i="17"/>
  <c r="K404" i="17"/>
  <c r="L374" i="17"/>
  <c r="K310" i="17"/>
  <c r="K246" i="17"/>
  <c r="K182" i="17"/>
  <c r="K118" i="17"/>
  <c r="K259" i="17"/>
  <c r="K195" i="17"/>
  <c r="K131" i="17"/>
  <c r="K367" i="17"/>
  <c r="L303" i="17"/>
  <c r="L239" i="17"/>
  <c r="L175" i="17"/>
  <c r="L111" i="17"/>
  <c r="L252" i="17"/>
  <c r="L188" i="17"/>
  <c r="L124" i="17"/>
  <c r="K43" i="17"/>
  <c r="K107" i="17"/>
  <c r="K46" i="17"/>
  <c r="K78" i="17"/>
  <c r="L14" i="17"/>
  <c r="L78" i="17"/>
  <c r="K557" i="17"/>
  <c r="L479" i="17"/>
  <c r="L554" i="17"/>
  <c r="K476" i="17"/>
  <c r="L346" i="17"/>
  <c r="K218" i="17"/>
  <c r="K295" i="17"/>
  <c r="K167" i="17"/>
  <c r="K339" i="17"/>
  <c r="L211" i="17"/>
  <c r="L288" i="17"/>
  <c r="L160" i="17"/>
  <c r="K71" i="17"/>
  <c r="K60" i="17"/>
  <c r="L42" i="17"/>
  <c r="L488" i="17"/>
  <c r="K485" i="17"/>
  <c r="K210" i="17"/>
  <c r="L203" i="17"/>
  <c r="K64" i="17"/>
  <c r="K290" i="17"/>
  <c r="K24" i="17"/>
  <c r="L136" i="17"/>
  <c r="K31" i="17"/>
  <c r="K571" i="17"/>
  <c r="L448" i="17"/>
  <c r="K445" i="17"/>
  <c r="K254" i="17"/>
  <c r="K203" i="17"/>
  <c r="L247" i="17"/>
  <c r="L196" i="17"/>
  <c r="K42" i="17"/>
  <c r="K589" i="17"/>
  <c r="L362" i="17"/>
  <c r="K355" i="17"/>
  <c r="K55" i="17"/>
  <c r="L553" i="17"/>
  <c r="L248" i="17"/>
  <c r="K175" i="17"/>
  <c r="K453" i="17"/>
  <c r="L514" i="17"/>
  <c r="L547" i="17"/>
  <c r="L521" i="17"/>
  <c r="K562" i="17"/>
  <c r="K559" i="17"/>
  <c r="K591" i="17"/>
  <c r="L604" i="17"/>
  <c r="K549" i="17"/>
  <c r="L496" i="17"/>
  <c r="L471" i="17"/>
  <c r="L343" i="17"/>
  <c r="L546" i="17"/>
  <c r="K493" i="17"/>
  <c r="K468" i="17"/>
  <c r="K340" i="17"/>
  <c r="L342" i="17"/>
  <c r="K278" i="17"/>
  <c r="K214" i="17"/>
  <c r="K150" i="17"/>
  <c r="K291" i="17"/>
  <c r="K227" i="17"/>
  <c r="K163" i="17"/>
  <c r="K399" i="17"/>
  <c r="K335" i="17"/>
  <c r="L271" i="17"/>
  <c r="L207" i="17"/>
  <c r="L143" i="17"/>
  <c r="L284" i="17"/>
  <c r="L220" i="17"/>
  <c r="L156" i="17"/>
  <c r="K18" i="17"/>
  <c r="K75" i="17"/>
  <c r="K30" i="17"/>
  <c r="K62" i="17"/>
  <c r="K94" i="17"/>
  <c r="L46" i="17"/>
  <c r="L622" i="17"/>
  <c r="L504" i="17"/>
  <c r="L351" i="17"/>
  <c r="K501" i="17"/>
  <c r="K348" i="17"/>
  <c r="K282" i="17"/>
  <c r="K154" i="17"/>
  <c r="K231" i="17"/>
  <c r="K403" i="17"/>
  <c r="L275" i="17"/>
  <c r="L147" i="17"/>
  <c r="L224" i="17"/>
  <c r="K14" i="17"/>
  <c r="K28" i="17"/>
  <c r="K92" i="17"/>
  <c r="L106" i="17"/>
  <c r="L335" i="17"/>
  <c r="K328" i="17"/>
  <c r="K159" i="17"/>
  <c r="L152" i="17"/>
  <c r="K519" i="17"/>
  <c r="L283" i="17"/>
  <c r="K428" i="17"/>
  <c r="L251" i="17"/>
  <c r="K570" i="17"/>
  <c r="C635" i="17"/>
  <c r="K607" i="17"/>
  <c r="L382" i="17"/>
  <c r="K126" i="17"/>
  <c r="K375" i="17"/>
  <c r="L119" i="17"/>
  <c r="K35" i="17"/>
  <c r="K106" i="17"/>
  <c r="L586" i="17"/>
  <c r="K311" i="17"/>
  <c r="L304" i="17"/>
  <c r="L26" i="17"/>
  <c r="K255" i="17"/>
  <c r="L82" i="17"/>
  <c r="L535" i="17"/>
  <c r="J628" i="17"/>
  <c r="K274" i="17"/>
  <c r="K223" i="17"/>
  <c r="L267" i="17"/>
  <c r="L216" i="17"/>
  <c r="K32" i="17"/>
  <c r="K626" i="17"/>
  <c r="K364" i="17"/>
  <c r="L416" i="17"/>
  <c r="K117" i="17"/>
  <c r="L431" i="17"/>
  <c r="L187" i="17"/>
  <c r="K258" i="17"/>
  <c r="K104" i="17"/>
  <c r="K554" i="17"/>
  <c r="K555" i="17"/>
  <c r="L600" i="17"/>
  <c r="L512" i="17"/>
  <c r="L359" i="17"/>
  <c r="K509" i="17"/>
  <c r="K356" i="17"/>
  <c r="K286" i="17"/>
  <c r="K158" i="17"/>
  <c r="K235" i="17"/>
  <c r="L408" i="17"/>
  <c r="L279" i="17"/>
  <c r="L151" i="17"/>
  <c r="L228" i="17"/>
  <c r="L112" i="17"/>
  <c r="K26" i="17"/>
  <c r="K90" i="17"/>
  <c r="L102" i="17"/>
  <c r="L383" i="17"/>
  <c r="K380" i="17"/>
  <c r="K170" i="17"/>
  <c r="K330" i="17"/>
  <c r="L163" i="17"/>
  <c r="K115" i="17"/>
  <c r="K84" i="17"/>
  <c r="L399" i="17"/>
  <c r="K178" i="17"/>
  <c r="L171" i="17"/>
  <c r="K80" i="17"/>
  <c r="K226" i="17"/>
  <c r="K56" i="17"/>
  <c r="K95" i="17"/>
  <c r="K379" i="17"/>
  <c r="K146" i="17"/>
  <c r="K395" i="17"/>
  <c r="L139" i="17"/>
  <c r="K15" i="17"/>
  <c r="K96" i="17"/>
  <c r="L367" i="17"/>
  <c r="K162" i="17"/>
  <c r="L155" i="17"/>
  <c r="K88" i="17"/>
  <c r="K194" i="17"/>
  <c r="K72" i="17"/>
  <c r="K40" i="17"/>
  <c r="L533" i="17"/>
  <c r="K586" i="17"/>
  <c r="K587" i="17"/>
  <c r="K565" i="17"/>
  <c r="L487" i="17"/>
  <c r="L562" i="17"/>
  <c r="K484" i="17"/>
  <c r="L350" i="17"/>
  <c r="K222" i="17"/>
  <c r="K299" i="17"/>
  <c r="K171" i="17"/>
  <c r="K343" i="17"/>
  <c r="L215" i="17"/>
  <c r="L292" i="17"/>
  <c r="L164" i="17"/>
  <c r="K67" i="17"/>
  <c r="K58" i="17"/>
  <c r="L38" i="17"/>
  <c r="K535" i="17"/>
  <c r="L532" i="17"/>
  <c r="K298" i="17"/>
  <c r="K247" i="17"/>
  <c r="L291" i="17"/>
  <c r="L240" i="17"/>
  <c r="K20" i="17"/>
  <c r="L90" i="17"/>
  <c r="K396" i="17"/>
  <c r="K127" i="17"/>
  <c r="L120" i="17"/>
  <c r="L495" i="17"/>
  <c r="L219" i="17"/>
  <c r="L322" i="17"/>
  <c r="L200" i="17"/>
  <c r="J34" i="17"/>
  <c r="J351" i="17"/>
  <c r="J253" i="17"/>
  <c r="H627" i="17"/>
  <c r="O627" i="17"/>
  <c r="R627" i="17"/>
  <c r="Q627" i="17"/>
  <c r="P627" i="17"/>
  <c r="I381" i="17"/>
  <c r="J174" i="17"/>
  <c r="L628" i="17"/>
  <c r="I353" i="17"/>
  <c r="I51" i="17"/>
  <c r="J62" i="17"/>
  <c r="I561" i="17"/>
  <c r="I62" i="17"/>
  <c r="J623" i="17"/>
  <c r="J202" i="17"/>
  <c r="J109" i="17"/>
  <c r="J302" i="17"/>
  <c r="J435" i="17"/>
  <c r="J147" i="17"/>
  <c r="I40" i="17"/>
  <c r="J125" i="17"/>
  <c r="I79" i="17"/>
  <c r="J225" i="17"/>
  <c r="J519" i="17"/>
  <c r="I311" i="17"/>
  <c r="K579" i="17"/>
  <c r="L611" i="17"/>
  <c r="L597" i="17"/>
  <c r="K543" i="17"/>
  <c r="K520" i="17"/>
  <c r="L391" i="17"/>
  <c r="L594" i="17"/>
  <c r="L540" i="17"/>
  <c r="K516" i="17"/>
  <c r="K388" i="17"/>
  <c r="L366" i="17"/>
  <c r="K302" i="17"/>
  <c r="K238" i="17"/>
  <c r="K174" i="17"/>
  <c r="K110" i="17"/>
  <c r="K251" i="17"/>
  <c r="K187" i="17"/>
  <c r="K123" i="17"/>
  <c r="K359" i="17"/>
  <c r="L295" i="17"/>
  <c r="L231" i="17"/>
  <c r="L167" i="17"/>
  <c r="L308" i="17"/>
  <c r="L244" i="17"/>
  <c r="L180" i="17"/>
  <c r="L116" i="17"/>
  <c r="K51" i="17"/>
  <c r="L17" i="17"/>
  <c r="K50" i="17"/>
  <c r="K82" i="17"/>
  <c r="L22" i="17"/>
  <c r="L86" i="17"/>
  <c r="K558" i="17"/>
  <c r="L447" i="17"/>
  <c r="K552" i="17"/>
  <c r="K444" i="17"/>
  <c r="L330" i="17"/>
  <c r="K202" i="17"/>
  <c r="K279" i="17"/>
  <c r="K151" i="17"/>
  <c r="K323" i="17"/>
  <c r="L195" i="17"/>
  <c r="L272" i="17"/>
  <c r="L144" i="17"/>
  <c r="K87" i="17"/>
  <c r="K68" i="17"/>
  <c r="L58" i="17"/>
  <c r="L424" i="17"/>
  <c r="K421" i="17"/>
  <c r="K242" i="17"/>
  <c r="K191" i="17"/>
  <c r="L235" i="17"/>
  <c r="L184" i="17"/>
  <c r="K48" i="17"/>
  <c r="K573" i="17"/>
  <c r="L354" i="17"/>
  <c r="K347" i="17"/>
  <c r="K63" i="17"/>
  <c r="K532" i="17"/>
  <c r="L264" i="17"/>
  <c r="K207" i="17"/>
  <c r="L386" i="17"/>
  <c r="J73" i="17"/>
  <c r="J98" i="17"/>
  <c r="J266" i="17"/>
  <c r="I317" i="17"/>
  <c r="I76" i="17"/>
  <c r="J110" i="17"/>
  <c r="J161" i="17"/>
  <c r="I409" i="17"/>
  <c r="J479" i="17"/>
  <c r="I159" i="17"/>
  <c r="J275" i="17"/>
  <c r="K628" i="17"/>
  <c r="K563" i="17"/>
  <c r="L595" i="17"/>
  <c r="L608" i="17"/>
  <c r="K574" i="17"/>
  <c r="L480" i="17"/>
  <c r="L455" i="17"/>
  <c r="L327" i="17"/>
  <c r="K568" i="17"/>
  <c r="K477" i="17"/>
  <c r="K452" i="17"/>
  <c r="L414" i="17"/>
  <c r="L334" i="17"/>
  <c r="K270" i="17"/>
  <c r="K206" i="17"/>
  <c r="K142" i="17"/>
  <c r="K283" i="17"/>
  <c r="K219" i="17"/>
  <c r="K155" i="17"/>
  <c r="K391" i="17"/>
  <c r="K327" i="17"/>
  <c r="L263" i="17"/>
  <c r="L199" i="17"/>
  <c r="L135" i="17"/>
  <c r="L276" i="17"/>
  <c r="L212" i="17"/>
  <c r="L148" i="17"/>
  <c r="K19" i="17"/>
  <c r="K83" i="17"/>
  <c r="K34" i="17"/>
  <c r="K66" i="17"/>
  <c r="K98" i="17"/>
  <c r="L54" i="17"/>
  <c r="K623" i="17"/>
  <c r="L472" i="17"/>
  <c r="L319" i="17"/>
  <c r="K469" i="17"/>
  <c r="L402" i="17"/>
  <c r="K266" i="17"/>
  <c r="K138" i="17"/>
  <c r="K215" i="17"/>
  <c r="K387" i="17"/>
  <c r="L259" i="17"/>
  <c r="L131" i="17"/>
  <c r="L208" i="17"/>
  <c r="K23" i="17"/>
  <c r="K36" i="17"/>
  <c r="K100" i="17"/>
  <c r="L605" i="17"/>
  <c r="K602" i="17"/>
  <c r="L370" i="17"/>
  <c r="K114" i="17"/>
  <c r="K363" i="17"/>
  <c r="L312" i="17"/>
  <c r="K47" i="17"/>
  <c r="L18" i="17"/>
  <c r="L570" i="17"/>
  <c r="K303" i="17"/>
  <c r="L296" i="17"/>
  <c r="L34" i="17"/>
  <c r="K271" i="17"/>
  <c r="L66" i="17"/>
  <c r="AA625" i="17"/>
  <c r="I104" i="17"/>
  <c r="J138" i="17"/>
  <c r="J189" i="17"/>
  <c r="J45" i="17"/>
  <c r="I15" i="17"/>
  <c r="J238" i="17"/>
  <c r="J289" i="17"/>
  <c r="J391" i="17"/>
  <c r="J460" i="17"/>
  <c r="I29" i="17"/>
  <c r="I516" i="17"/>
  <c r="J508" i="17"/>
  <c r="I622" i="17"/>
  <c r="I111" i="17"/>
  <c r="J389" i="17"/>
  <c r="I172" i="17"/>
  <c r="I522" i="17"/>
  <c r="J75" i="17"/>
  <c r="J224" i="17"/>
  <c r="I541" i="17"/>
  <c r="J49" i="17"/>
  <c r="I16" i="17"/>
  <c r="I80" i="17"/>
  <c r="I75" i="17"/>
  <c r="I113" i="17"/>
  <c r="J58" i="17"/>
  <c r="J114" i="17"/>
  <c r="J178" i="17"/>
  <c r="J242" i="17"/>
  <c r="J306" i="17"/>
  <c r="J165" i="17"/>
  <c r="J229" i="17"/>
  <c r="J293" i="17"/>
  <c r="I357" i="17"/>
  <c r="J21" i="17"/>
  <c r="J85" i="17"/>
  <c r="I52" i="17"/>
  <c r="I103" i="17"/>
  <c r="I39" i="17"/>
  <c r="J86" i="17"/>
  <c r="J22" i="17"/>
  <c r="J150" i="17"/>
  <c r="J214" i="17"/>
  <c r="J278" i="17"/>
  <c r="J137" i="17"/>
  <c r="J201" i="17"/>
  <c r="J265" i="17"/>
  <c r="I329" i="17"/>
  <c r="I393" i="17"/>
  <c r="J335" i="17"/>
  <c r="J375" i="17"/>
  <c r="J419" i="17"/>
  <c r="J463" i="17"/>
  <c r="J503" i="17"/>
  <c r="J444" i="17"/>
  <c r="J488" i="17"/>
  <c r="I558" i="17"/>
  <c r="J589" i="17"/>
  <c r="J613" i="17"/>
  <c r="I247" i="17"/>
  <c r="J55" i="17"/>
  <c r="I22" i="17"/>
  <c r="I73" i="17"/>
  <c r="J56" i="17"/>
  <c r="J180" i="17"/>
  <c r="J308" i="17"/>
  <c r="J231" i="17"/>
  <c r="I403" i="17"/>
  <c r="J454" i="17"/>
  <c r="I179" i="17"/>
  <c r="I340" i="17"/>
  <c r="I611" i="17"/>
  <c r="J17" i="17"/>
  <c r="J81" i="17"/>
  <c r="I48" i="17"/>
  <c r="I107" i="17"/>
  <c r="I43" i="17"/>
  <c r="J90" i="17"/>
  <c r="J26" i="17"/>
  <c r="J146" i="17"/>
  <c r="J210" i="17"/>
  <c r="J274" i="17"/>
  <c r="J133" i="17"/>
  <c r="J197" i="17"/>
  <c r="J261" i="17"/>
  <c r="I325" i="17"/>
  <c r="I389" i="17"/>
  <c r="J53" i="17"/>
  <c r="I20" i="17"/>
  <c r="I84" i="17"/>
  <c r="I71" i="17"/>
  <c r="I121" i="17"/>
  <c r="J54" i="17"/>
  <c r="J118" i="17"/>
  <c r="J182" i="17"/>
  <c r="J246" i="17"/>
  <c r="J310" i="17"/>
  <c r="J169" i="17"/>
  <c r="J233" i="17"/>
  <c r="J297" i="17"/>
  <c r="I361" i="17"/>
  <c r="I413" i="17"/>
  <c r="J355" i="17"/>
  <c r="J399" i="17"/>
  <c r="J439" i="17"/>
  <c r="J483" i="17"/>
  <c r="J424" i="17"/>
  <c r="J464" i="17"/>
  <c r="I519" i="17"/>
  <c r="I534" i="17"/>
  <c r="I573" i="17"/>
  <c r="I183" i="17"/>
  <c r="J23" i="17"/>
  <c r="J87" i="17"/>
  <c r="I82" i="17"/>
  <c r="I117" i="17"/>
  <c r="J116" i="17"/>
  <c r="J244" i="17"/>
  <c r="J167" i="17"/>
  <c r="J295" i="17"/>
  <c r="J429" i="17"/>
  <c r="I532" i="17"/>
  <c r="I186" i="17"/>
  <c r="I493" i="17"/>
  <c r="I300" i="17"/>
  <c r="J41" i="17"/>
  <c r="J105" i="17"/>
  <c r="I72" i="17"/>
  <c r="I83" i="17"/>
  <c r="I19" i="17"/>
  <c r="J66" i="17"/>
  <c r="I131" i="17"/>
  <c r="J170" i="17"/>
  <c r="J234" i="17"/>
  <c r="J298" i="17"/>
  <c r="J157" i="17"/>
  <c r="J221" i="17"/>
  <c r="J285" i="17"/>
  <c r="I349" i="17"/>
  <c r="J13" i="17"/>
  <c r="J77" i="17"/>
  <c r="I44" i="17"/>
  <c r="I108" i="17"/>
  <c r="I47" i="17"/>
  <c r="J94" i="17"/>
  <c r="J30" i="17"/>
  <c r="J142" i="17"/>
  <c r="J206" i="17"/>
  <c r="J270" i="17"/>
  <c r="J129" i="17"/>
  <c r="J193" i="17"/>
  <c r="J257" i="17"/>
  <c r="I321" i="17"/>
  <c r="I385" i="17"/>
  <c r="J327" i="17"/>
  <c r="J371" i="17"/>
  <c r="J415" i="17"/>
  <c r="J455" i="17"/>
  <c r="J499" i="17"/>
  <c r="J440" i="17"/>
  <c r="J480" i="17"/>
  <c r="I539" i="17"/>
  <c r="J565" i="17"/>
  <c r="I593" i="17"/>
  <c r="I223" i="17"/>
  <c r="J43" i="17"/>
  <c r="J107" i="17"/>
  <c r="I93" i="17"/>
  <c r="J76" i="17"/>
  <c r="J160" i="17"/>
  <c r="J288" i="17"/>
  <c r="J211" i="17"/>
  <c r="I363" i="17"/>
  <c r="J517" i="17"/>
  <c r="J595" i="17"/>
  <c r="J362" i="17"/>
  <c r="I498" i="17"/>
  <c r="J344" i="17"/>
  <c r="I236" i="17"/>
  <c r="I156" i="17"/>
  <c r="I265" i="17"/>
  <c r="I185" i="17"/>
  <c r="J599" i="17"/>
  <c r="J578" i="17"/>
  <c r="J539" i="17"/>
  <c r="J524" i="17"/>
  <c r="I461" i="17"/>
  <c r="I500" i="17"/>
  <c r="I436" i="17"/>
  <c r="I372" i="17"/>
  <c r="J410" i="17"/>
  <c r="J346" i="17"/>
  <c r="I282" i="17"/>
  <c r="I218" i="17"/>
  <c r="I154" i="17"/>
  <c r="I303" i="17"/>
  <c r="I271" i="17"/>
  <c r="I211" i="17"/>
  <c r="I147" i="17"/>
  <c r="I587" i="17"/>
  <c r="I555" i="17"/>
  <c r="J553" i="17"/>
  <c r="I586" i="17"/>
  <c r="I533" i="17"/>
  <c r="J502" i="17"/>
  <c r="J470" i="17"/>
  <c r="J438" i="17"/>
  <c r="J509" i="17"/>
  <c r="J477" i="17"/>
  <c r="J445" i="17"/>
  <c r="J413" i="17"/>
  <c r="J381" i="17"/>
  <c r="J349" i="17"/>
  <c r="J317" i="17"/>
  <c r="I387" i="17"/>
  <c r="I355" i="17"/>
  <c r="I323" i="17"/>
  <c r="J303" i="17"/>
  <c r="J287" i="17"/>
  <c r="J271" i="17"/>
  <c r="J255" i="17"/>
  <c r="J239" i="17"/>
  <c r="J223" i="17"/>
  <c r="J207" i="17"/>
  <c r="J191" i="17"/>
  <c r="J175" i="17"/>
  <c r="J159" i="17"/>
  <c r="J143" i="17"/>
  <c r="J127" i="17"/>
  <c r="J111" i="17"/>
  <c r="J300" i="17"/>
  <c r="J284" i="17"/>
  <c r="J268" i="17"/>
  <c r="J252" i="17"/>
  <c r="J236" i="17"/>
  <c r="J220" i="17"/>
  <c r="J204" i="17"/>
  <c r="J188" i="17"/>
  <c r="J172" i="17"/>
  <c r="J156" i="17"/>
  <c r="J140" i="17"/>
  <c r="J124" i="17"/>
  <c r="I135" i="17"/>
  <c r="J16" i="17"/>
  <c r="J32" i="17"/>
  <c r="J48" i="17"/>
  <c r="J64" i="17"/>
  <c r="J80" i="17"/>
  <c r="J96" i="17"/>
  <c r="I133" i="17"/>
  <c r="I17" i="17"/>
  <c r="I33" i="17"/>
  <c r="I49" i="17"/>
  <c r="I65" i="17"/>
  <c r="I81" i="17"/>
  <c r="I97" i="17"/>
  <c r="I106" i="17"/>
  <c r="I90" i="17"/>
  <c r="I74" i="17"/>
  <c r="I58" i="17"/>
  <c r="I42" i="17"/>
  <c r="I26" i="17"/>
  <c r="I414" i="17"/>
  <c r="J324" i="17"/>
  <c r="I220" i="17"/>
  <c r="I124" i="17"/>
  <c r="I249" i="17"/>
  <c r="I169" i="17"/>
  <c r="J604" i="17"/>
  <c r="J562" i="17"/>
  <c r="J523" i="17"/>
  <c r="I509" i="17"/>
  <c r="I445" i="17"/>
  <c r="I484" i="17"/>
  <c r="I420" i="17"/>
  <c r="I356" i="17"/>
  <c r="J394" i="17"/>
  <c r="J330" i="17"/>
  <c r="I266" i="17"/>
  <c r="I202" i="17"/>
  <c r="I138" i="17"/>
  <c r="I295" i="17"/>
  <c r="I259" i="17"/>
  <c r="I195" i="17"/>
  <c r="I603" i="17"/>
  <c r="I579" i="17"/>
  <c r="I547" i="17"/>
  <c r="I540" i="17"/>
  <c r="I570" i="17"/>
  <c r="I525" i="17"/>
  <c r="J494" i="17"/>
  <c r="J462" i="17"/>
  <c r="J430" i="17"/>
  <c r="J501" i="17"/>
  <c r="J469" i="17"/>
  <c r="J437" i="17"/>
  <c r="J405" i="17"/>
  <c r="J373" i="17"/>
  <c r="J341" i="17"/>
  <c r="I411" i="17"/>
  <c r="I379" i="17"/>
  <c r="I347" i="17"/>
  <c r="I315" i="17"/>
  <c r="J299" i="17"/>
  <c r="J283" i="17"/>
  <c r="J267" i="17"/>
  <c r="J251" i="17"/>
  <c r="J235" i="17"/>
  <c r="J219" i="17"/>
  <c r="J203" i="17"/>
  <c r="J187" i="17"/>
  <c r="J171" i="17"/>
  <c r="J155" i="17"/>
  <c r="J139" i="17"/>
  <c r="J123" i="17"/>
  <c r="J312" i="17"/>
  <c r="J296" i="17"/>
  <c r="J280" i="17"/>
  <c r="J264" i="17"/>
  <c r="J248" i="17"/>
  <c r="J232" i="17"/>
  <c r="J216" i="17"/>
  <c r="J200" i="17"/>
  <c r="J184" i="17"/>
  <c r="J168" i="17"/>
  <c r="J152" i="17"/>
  <c r="J136" i="17"/>
  <c r="J120" i="17"/>
  <c r="I127" i="17"/>
  <c r="J20" i="17"/>
  <c r="J36" i="17"/>
  <c r="J52" i="17"/>
  <c r="J68" i="17"/>
  <c r="J84" i="17"/>
  <c r="J100" i="17"/>
  <c r="I125" i="17"/>
  <c r="I21" i="17"/>
  <c r="I37" i="17"/>
  <c r="I53" i="17"/>
  <c r="I69" i="17"/>
  <c r="I85" i="17"/>
  <c r="I101" i="17"/>
  <c r="I102" i="17"/>
  <c r="I86" i="17"/>
  <c r="I70" i="17"/>
  <c r="I54" i="17"/>
  <c r="I38" i="17"/>
  <c r="I260" i="17"/>
  <c r="I297" i="17"/>
  <c r="AA624" i="17"/>
  <c r="J567" i="17"/>
  <c r="I477" i="17"/>
  <c r="I452" i="17"/>
  <c r="I324" i="17"/>
  <c r="I298" i="17"/>
  <c r="I170" i="17"/>
  <c r="I279" i="17"/>
  <c r="I163" i="17"/>
  <c r="I563" i="17"/>
  <c r="I524" i="17"/>
  <c r="J510" i="17"/>
  <c r="J446" i="17"/>
  <c r="J485" i="17"/>
  <c r="J421" i="17"/>
  <c r="J357" i="17"/>
  <c r="I395" i="17"/>
  <c r="I331" i="17"/>
  <c r="J291" i="17"/>
  <c r="J259" i="17"/>
  <c r="J227" i="17"/>
  <c r="J195" i="17"/>
  <c r="J163" i="17"/>
  <c r="J131" i="17"/>
  <c r="J304" i="17"/>
  <c r="J272" i="17"/>
  <c r="J240" i="17"/>
  <c r="J208" i="17"/>
  <c r="J176" i="17"/>
  <c r="J144" i="17"/>
  <c r="J112" i="17"/>
  <c r="J28" i="17"/>
  <c r="J60" i="17"/>
  <c r="J92" i="17"/>
  <c r="I13" i="17"/>
  <c r="I45" i="17"/>
  <c r="I77" i="17"/>
  <c r="I109" i="17"/>
  <c r="I78" i="17"/>
  <c r="I46" i="17"/>
  <c r="I18" i="17"/>
  <c r="J99" i="17"/>
  <c r="J83" i="17"/>
  <c r="J67" i="17"/>
  <c r="J51" i="17"/>
  <c r="J35" i="17"/>
  <c r="J19" i="17"/>
  <c r="I623" i="17"/>
  <c r="I239" i="17"/>
  <c r="I207" i="17"/>
  <c r="I175" i="17"/>
  <c r="I143" i="17"/>
  <c r="J605" i="17"/>
  <c r="I585" i="17"/>
  <c r="I569" i="17"/>
  <c r="I553" i="17"/>
  <c r="J581" i="17"/>
  <c r="J549" i="17"/>
  <c r="I530" i="17"/>
  <c r="I582" i="17"/>
  <c r="I550" i="17"/>
  <c r="I531" i="17"/>
  <c r="J516" i="17"/>
  <c r="J500" i="17"/>
  <c r="J484" i="17"/>
  <c r="J468" i="17"/>
  <c r="J452" i="17"/>
  <c r="J436" i="17"/>
  <c r="J420" i="17"/>
  <c r="J507" i="17"/>
  <c r="J491" i="17"/>
  <c r="J475" i="17"/>
  <c r="J459" i="17"/>
  <c r="J443" i="17"/>
  <c r="J427" i="17"/>
  <c r="J411" i="17"/>
  <c r="J395" i="17"/>
  <c r="J379" i="17"/>
  <c r="J363" i="17"/>
  <c r="J347" i="17"/>
  <c r="J331" i="17"/>
  <c r="J315" i="17"/>
  <c r="I401" i="17"/>
  <c r="I366" i="17"/>
  <c r="I188" i="17"/>
  <c r="I233" i="17"/>
  <c r="I610" i="17"/>
  <c r="I568" i="17"/>
  <c r="I429" i="17"/>
  <c r="I404" i="17"/>
  <c r="J378" i="17"/>
  <c r="I250" i="17"/>
  <c r="I122" i="17"/>
  <c r="I243" i="17"/>
  <c r="J609" i="17"/>
  <c r="J585" i="17"/>
  <c r="I554" i="17"/>
  <c r="J486" i="17"/>
  <c r="J422" i="17"/>
  <c r="J461" i="17"/>
  <c r="J397" i="17"/>
  <c r="J333" i="17"/>
  <c r="I371" i="17"/>
  <c r="J311" i="17"/>
  <c r="J279" i="17"/>
  <c r="J247" i="17"/>
  <c r="J215" i="17"/>
  <c r="J183" i="17"/>
  <c r="J151" i="17"/>
  <c r="J119" i="17"/>
  <c r="J292" i="17"/>
  <c r="J260" i="17"/>
  <c r="J228" i="17"/>
  <c r="J196" i="17"/>
  <c r="J164" i="17"/>
  <c r="J132" i="17"/>
  <c r="I119" i="17"/>
  <c r="J40" i="17"/>
  <c r="J72" i="17"/>
  <c r="J104" i="17"/>
  <c r="I25" i="17"/>
  <c r="I57" i="17"/>
  <c r="I89" i="17"/>
  <c r="I98" i="17"/>
  <c r="I66" i="17"/>
  <c r="I34" i="17"/>
  <c r="I14" i="17"/>
  <c r="J95" i="17"/>
  <c r="J79" i="17"/>
  <c r="J63" i="17"/>
  <c r="J47" i="17"/>
  <c r="J31" i="17"/>
  <c r="J15" i="17"/>
  <c r="I263" i="17"/>
  <c r="I231" i="17"/>
  <c r="I199" i="17"/>
  <c r="I167" i="17"/>
  <c r="I607" i="17"/>
  <c r="J597" i="17"/>
  <c r="I581" i="17"/>
  <c r="I565" i="17"/>
  <c r="I549" i="17"/>
  <c r="J573" i="17"/>
  <c r="I542" i="17"/>
  <c r="I526" i="17"/>
  <c r="I574" i="17"/>
  <c r="I543" i="17"/>
  <c r="I527" i="17"/>
  <c r="J512" i="17"/>
  <c r="J496" i="17"/>
  <c r="J25" i="17"/>
  <c r="J57" i="17"/>
  <c r="J89" i="17"/>
  <c r="I24" i="17"/>
  <c r="I56" i="17"/>
  <c r="I88" i="17"/>
  <c r="I99" i="17"/>
  <c r="I67" i="17"/>
  <c r="I35" i="17"/>
  <c r="I129" i="17"/>
  <c r="J82" i="17"/>
  <c r="J50" i="17"/>
  <c r="J18" i="17"/>
  <c r="J122" i="17"/>
  <c r="J154" i="17"/>
  <c r="J186" i="17"/>
  <c r="J218" i="17"/>
  <c r="J250" i="17"/>
  <c r="J282" i="17"/>
  <c r="J314" i="17"/>
  <c r="J141" i="17"/>
  <c r="J173" i="17"/>
  <c r="J205" i="17"/>
  <c r="J237" i="17"/>
  <c r="J269" i="17"/>
  <c r="J301" i="17"/>
  <c r="I333" i="17"/>
  <c r="I365" i="17"/>
  <c r="J622" i="17"/>
  <c r="J29" i="17"/>
  <c r="J61" i="17"/>
  <c r="J93" i="17"/>
  <c r="I28" i="17"/>
  <c r="I60" i="17"/>
  <c r="I92" i="17"/>
  <c r="I95" i="17"/>
  <c r="I63" i="17"/>
  <c r="I31" i="17"/>
  <c r="I137" i="17"/>
  <c r="J78" i="17"/>
  <c r="J46" i="17"/>
  <c r="J14" i="17"/>
  <c r="J126" i="17"/>
  <c r="J158" i="17"/>
  <c r="J190" i="17"/>
  <c r="J222" i="17"/>
  <c r="J254" i="17"/>
  <c r="J286" i="17"/>
  <c r="J113" i="17"/>
  <c r="J145" i="17"/>
  <c r="J177" i="17"/>
  <c r="J209" i="17"/>
  <c r="J241" i="17"/>
  <c r="J273" i="17"/>
  <c r="J305" i="17"/>
  <c r="I337" i="17"/>
  <c r="I369" i="17"/>
  <c r="I397" i="17"/>
  <c r="J319" i="17"/>
  <c r="J339" i="17"/>
  <c r="J359" i="17"/>
  <c r="J383" i="17"/>
  <c r="J403" i="17"/>
  <c r="J423" i="17"/>
  <c r="J447" i="17"/>
  <c r="J467" i="17"/>
  <c r="J487" i="17"/>
  <c r="J511" i="17"/>
  <c r="J428" i="17"/>
  <c r="J448" i="17"/>
  <c r="J472" i="17"/>
  <c r="J492" i="17"/>
  <c r="I523" i="17"/>
  <c r="I566" i="17"/>
  <c r="I538" i="17"/>
  <c r="I545" i="17"/>
  <c r="I577" i="17"/>
  <c r="I599" i="17"/>
  <c r="I191" i="17"/>
  <c r="I255" i="17"/>
  <c r="J27" i="17"/>
  <c r="J59" i="17"/>
  <c r="J91" i="17"/>
  <c r="I30" i="17"/>
  <c r="I94" i="17"/>
  <c r="I61" i="17"/>
  <c r="J108" i="17"/>
  <c r="J44" i="17"/>
  <c r="J128" i="17"/>
  <c r="J192" i="17"/>
  <c r="J256" i="17"/>
  <c r="J115" i="17"/>
  <c r="J179" i="17"/>
  <c r="J243" i="17"/>
  <c r="J307" i="17"/>
  <c r="J325" i="17"/>
  <c r="J453" i="17"/>
  <c r="J478" i="17"/>
  <c r="J569" i="17"/>
  <c r="I227" i="17"/>
  <c r="I234" i="17"/>
  <c r="I388" i="17"/>
  <c r="J540" i="17"/>
  <c r="I201" i="17"/>
  <c r="I322" i="17"/>
  <c r="J33" i="17"/>
  <c r="J65" i="17"/>
  <c r="J97" i="17"/>
  <c r="I32" i="17"/>
  <c r="I64" i="17"/>
  <c r="I96" i="17"/>
  <c r="I91" i="17"/>
  <c r="I59" i="17"/>
  <c r="I27" i="17"/>
  <c r="J106" i="17"/>
  <c r="J74" i="17"/>
  <c r="J42" i="17"/>
  <c r="I115" i="17"/>
  <c r="J130" i="17"/>
  <c r="J162" i="17"/>
  <c r="J194" i="17"/>
  <c r="J226" i="17"/>
  <c r="J258" i="17"/>
  <c r="J290" i="17"/>
  <c r="J117" i="17"/>
  <c r="J149" i="17"/>
  <c r="J181" i="17"/>
  <c r="J213" i="17"/>
  <c r="J245" i="17"/>
  <c r="J277" i="17"/>
  <c r="J309" i="17"/>
  <c r="I341" i="17"/>
  <c r="I373" i="17"/>
  <c r="I626" i="17"/>
  <c r="J37" i="17"/>
  <c r="J69" i="17"/>
  <c r="J101" i="17"/>
  <c r="I36" i="17"/>
  <c r="I68" i="17"/>
  <c r="I100" i="17"/>
  <c r="I87" i="17"/>
  <c r="I55" i="17"/>
  <c r="I23" i="17"/>
  <c r="J102" i="17"/>
  <c r="J70" i="17"/>
  <c r="J38" i="17"/>
  <c r="I123" i="17"/>
  <c r="J134" i="17"/>
  <c r="J166" i="17"/>
  <c r="J198" i="17"/>
  <c r="J230" i="17"/>
  <c r="J262" i="17"/>
  <c r="J294" i="17"/>
  <c r="J121" i="17"/>
  <c r="J153" i="17"/>
  <c r="J185" i="17"/>
  <c r="J217" i="17"/>
  <c r="J249" i="17"/>
  <c r="J281" i="17"/>
  <c r="J313" i="17"/>
  <c r="I345" i="17"/>
  <c r="I377" i="17"/>
  <c r="I405" i="17"/>
  <c r="J323" i="17"/>
  <c r="J343" i="17"/>
  <c r="J367" i="17"/>
  <c r="J387" i="17"/>
  <c r="J407" i="17"/>
  <c r="J431" i="17"/>
  <c r="J451" i="17"/>
  <c r="J471" i="17"/>
  <c r="J495" i="17"/>
  <c r="J515" i="17"/>
  <c r="J432" i="17"/>
  <c r="J456" i="17"/>
  <c r="J476" i="17"/>
  <c r="J504" i="17"/>
  <c r="I535" i="17"/>
  <c r="I590" i="17"/>
  <c r="J557" i="17"/>
  <c r="I557" i="17"/>
  <c r="I589" i="17"/>
  <c r="I151" i="17"/>
  <c r="I215" i="17"/>
  <c r="J626" i="17"/>
  <c r="J39" i="17"/>
  <c r="J71" i="17"/>
  <c r="J103" i="17"/>
  <c r="I50" i="17"/>
  <c r="I105" i="17"/>
  <c r="I41" i="17"/>
  <c r="J88" i="17"/>
  <c r="J24" i="17"/>
  <c r="J148" i="17"/>
  <c r="J212" i="17"/>
  <c r="J276" i="17"/>
  <c r="J135" i="17"/>
  <c r="J199" i="17"/>
  <c r="J263" i="17"/>
  <c r="I339" i="17"/>
  <c r="J365" i="17"/>
  <c r="J493" i="17"/>
  <c r="J518" i="17"/>
  <c r="I571" i="17"/>
  <c r="I287" i="17"/>
  <c r="I314" i="17"/>
  <c r="I468" i="17"/>
  <c r="J546" i="17"/>
  <c r="I313" i="17"/>
  <c r="I153" i="17"/>
  <c r="I217" i="17"/>
  <c r="I281" i="17"/>
  <c r="I140" i="17"/>
  <c r="I204" i="17"/>
  <c r="I280" i="17"/>
  <c r="J380" i="17"/>
  <c r="J555" i="17"/>
  <c r="I446" i="17"/>
  <c r="I342" i="17"/>
  <c r="J360" i="17"/>
  <c r="I312" i="17"/>
  <c r="I268" i="17"/>
  <c r="I228" i="17"/>
  <c r="I196" i="17"/>
  <c r="I164" i="17"/>
  <c r="I132" i="17"/>
  <c r="I305" i="17"/>
  <c r="I273" i="17"/>
  <c r="I241" i="17"/>
  <c r="I209" i="17"/>
  <c r="I177" i="17"/>
  <c r="I145" i="17"/>
  <c r="J607" i="17"/>
  <c r="J596" i="17"/>
  <c r="J586" i="17"/>
  <c r="J554" i="17"/>
  <c r="J551" i="17"/>
  <c r="I584" i="17"/>
  <c r="J532" i="17"/>
  <c r="I501" i="17"/>
  <c r="I469" i="17"/>
  <c r="I437" i="17"/>
  <c r="I508" i="17"/>
  <c r="I476" i="17"/>
  <c r="I444" i="17"/>
  <c r="I412" i="17"/>
  <c r="I380" i="17"/>
  <c r="I348" i="17"/>
  <c r="I316" i="17"/>
  <c r="J386" i="17"/>
  <c r="J354" i="17"/>
  <c r="J322" i="17"/>
  <c r="I290" i="17"/>
  <c r="I258" i="17"/>
  <c r="I226" i="17"/>
  <c r="I194" i="17"/>
  <c r="I162" i="17"/>
  <c r="I130" i="17"/>
  <c r="I307" i="17"/>
  <c r="I291" i="17"/>
  <c r="I275" i="17"/>
  <c r="I251" i="17"/>
  <c r="I219" i="17"/>
  <c r="I187" i="17"/>
  <c r="I155" i="17"/>
  <c r="I595" i="17"/>
  <c r="I591" i="17"/>
  <c r="I575" i="17"/>
  <c r="I559" i="17"/>
  <c r="J593" i="17"/>
  <c r="J561" i="17"/>
  <c r="I536" i="17"/>
  <c r="I594" i="17"/>
  <c r="I562" i="17"/>
  <c r="I537" i="17"/>
  <c r="I521" i="17"/>
  <c r="J506" i="17"/>
  <c r="J490" i="17"/>
  <c r="J474" i="17"/>
  <c r="J458" i="17"/>
  <c r="J442" i="17"/>
  <c r="J426" i="17"/>
  <c r="J513" i="17"/>
  <c r="J497" i="17"/>
  <c r="J481" i="17"/>
  <c r="J465" i="17"/>
  <c r="J449" i="17"/>
  <c r="J433" i="17"/>
  <c r="J417" i="17"/>
  <c r="J401" i="17"/>
  <c r="J385" i="17"/>
  <c r="J369" i="17"/>
  <c r="J353" i="17"/>
  <c r="J337" i="17"/>
  <c r="J321" i="17"/>
  <c r="I407" i="17"/>
  <c r="I391" i="17"/>
  <c r="I375" i="17"/>
  <c r="I359" i="17"/>
  <c r="I343" i="17"/>
  <c r="I327" i="17"/>
  <c r="I491" i="17"/>
  <c r="I386" i="17"/>
  <c r="J404" i="17"/>
  <c r="J332" i="17"/>
  <c r="I292" i="17"/>
  <c r="I248" i="17"/>
  <c r="I212" i="17"/>
  <c r="I180" i="17"/>
  <c r="I148" i="17"/>
  <c r="I116" i="17"/>
  <c r="I289" i="17"/>
  <c r="I257" i="17"/>
  <c r="I225" i="17"/>
  <c r="I193" i="17"/>
  <c r="I161" i="17"/>
  <c r="I601" i="17"/>
  <c r="J608" i="17"/>
  <c r="I602" i="17"/>
  <c r="J570" i="17"/>
  <c r="J583" i="17"/>
  <c r="J531" i="17"/>
  <c r="I552" i="17"/>
  <c r="I517" i="17"/>
  <c r="I485" i="17"/>
  <c r="I453" i="17"/>
  <c r="I421" i="17"/>
  <c r="I492" i="17"/>
  <c r="I460" i="17"/>
  <c r="I428" i="17"/>
  <c r="I396" i="17"/>
  <c r="I364" i="17"/>
  <c r="I332" i="17"/>
  <c r="J402" i="17"/>
  <c r="J370" i="17"/>
  <c r="J338" i="17"/>
  <c r="I306" i="17"/>
  <c r="I274" i="17"/>
  <c r="I242" i="17"/>
  <c r="I210" i="17"/>
  <c r="I178" i="17"/>
  <c r="I146" i="17"/>
  <c r="I114" i="17"/>
  <c r="I299" i="17"/>
  <c r="I283" i="17"/>
  <c r="I267" i="17"/>
  <c r="I235" i="17"/>
  <c r="I203" i="17"/>
  <c r="I171" i="17"/>
  <c r="I139" i="17"/>
  <c r="J601" i="17"/>
  <c r="I583" i="17"/>
  <c r="I567" i="17"/>
  <c r="I551" i="17"/>
  <c r="J577" i="17"/>
  <c r="J545" i="17"/>
  <c r="I528" i="17"/>
  <c r="I578" i="17"/>
  <c r="I546" i="17"/>
  <c r="I529" i="17"/>
  <c r="J514" i="17"/>
  <c r="J498" i="17"/>
  <c r="J482" i="17"/>
  <c r="J466" i="17"/>
  <c r="J450" i="17"/>
  <c r="J434" i="17"/>
  <c r="J418" i="17"/>
  <c r="J505" i="17"/>
  <c r="J489" i="17"/>
  <c r="J473" i="17"/>
  <c r="J457" i="17"/>
  <c r="J441" i="17"/>
  <c r="J425" i="17"/>
  <c r="J409" i="17"/>
  <c r="J393" i="17"/>
  <c r="J377" i="17"/>
  <c r="J361" i="17"/>
  <c r="J345" i="17"/>
  <c r="J329" i="17"/>
  <c r="I415" i="17"/>
  <c r="I399" i="17"/>
  <c r="I383" i="17"/>
  <c r="I367" i="17"/>
  <c r="I351" i="17"/>
  <c r="I335" i="17"/>
  <c r="I319" i="17"/>
  <c r="J542" i="17"/>
  <c r="I628" i="17"/>
  <c r="J592" i="17"/>
  <c r="I588" i="17"/>
  <c r="I471" i="17"/>
  <c r="I470" i="17"/>
  <c r="I398" i="17"/>
  <c r="I354" i="17"/>
  <c r="J412" i="17"/>
  <c r="J372" i="17"/>
  <c r="J340" i="17"/>
  <c r="J316" i="17"/>
  <c r="I296" i="17"/>
  <c r="I276" i="17"/>
  <c r="I252" i="17"/>
  <c r="I232" i="17"/>
  <c r="I216" i="17"/>
  <c r="I200" i="17"/>
  <c r="I184" i="17"/>
  <c r="I168" i="17"/>
  <c r="I152" i="17"/>
  <c r="I136" i="17"/>
  <c r="I120" i="17"/>
  <c r="I309" i="17"/>
  <c r="I293" i="17"/>
  <c r="I277" i="17"/>
  <c r="I261" i="17"/>
  <c r="I245" i="17"/>
  <c r="I229" i="17"/>
  <c r="I213" i="17"/>
  <c r="I197" i="17"/>
  <c r="I181" i="17"/>
  <c r="I165" i="17"/>
  <c r="I149" i="17"/>
  <c r="I605" i="17"/>
  <c r="J611" i="17"/>
  <c r="J612" i="17"/>
  <c r="J600" i="17"/>
  <c r="I606" i="17"/>
  <c r="J590" i="17"/>
  <c r="J574" i="17"/>
  <c r="J558" i="17"/>
  <c r="J591" i="17"/>
  <c r="J559" i="17"/>
  <c r="J535" i="17"/>
  <c r="I592" i="17"/>
  <c r="I560" i="17"/>
  <c r="J536" i="17"/>
  <c r="J520" i="17"/>
  <c r="I505" i="17"/>
  <c r="I489" i="17"/>
  <c r="I473" i="17"/>
  <c r="I457" i="17"/>
  <c r="I441" i="17"/>
  <c r="I425" i="17"/>
  <c r="I512" i="17"/>
  <c r="I496" i="17"/>
  <c r="I480" i="17"/>
  <c r="I464" i="17"/>
  <c r="I448" i="17"/>
  <c r="I432" i="17"/>
  <c r="I416" i="17"/>
  <c r="I400" i="17"/>
  <c r="I384" i="17"/>
  <c r="I368" i="17"/>
  <c r="I352" i="17"/>
  <c r="I336" i="17"/>
  <c r="I320" i="17"/>
  <c r="J406" i="17"/>
  <c r="J390" i="17"/>
  <c r="J374" i="17"/>
  <c r="J358" i="17"/>
  <c r="J342" i="17"/>
  <c r="J326" i="17"/>
  <c r="I310" i="17"/>
  <c r="I294" i="17"/>
  <c r="I278" i="17"/>
  <c r="I262" i="17"/>
  <c r="I246" i="17"/>
  <c r="I230" i="17"/>
  <c r="I214" i="17"/>
  <c r="I198" i="17"/>
  <c r="I182" i="17"/>
  <c r="I166" i="17"/>
  <c r="I150" i="17"/>
  <c r="I134" i="17"/>
  <c r="I118" i="17"/>
  <c r="J548" i="17"/>
  <c r="I520" i="17"/>
  <c r="I514" i="17"/>
  <c r="I430" i="17"/>
  <c r="I374" i="17"/>
  <c r="I334" i="17"/>
  <c r="J392" i="17"/>
  <c r="J348" i="17"/>
  <c r="J328" i="17"/>
  <c r="I308" i="17"/>
  <c r="I284" i="17"/>
  <c r="I264" i="17"/>
  <c r="I244" i="17"/>
  <c r="I224" i="17"/>
  <c r="I208" i="17"/>
  <c r="I192" i="17"/>
  <c r="I176" i="17"/>
  <c r="I160" i="17"/>
  <c r="I144" i="17"/>
  <c r="I128" i="17"/>
  <c r="I112" i="17"/>
  <c r="I301" i="17"/>
  <c r="I285" i="17"/>
  <c r="I269" i="17"/>
  <c r="I253" i="17"/>
  <c r="I237" i="17"/>
  <c r="I221" i="17"/>
  <c r="I205" i="17"/>
  <c r="I189" i="17"/>
  <c r="I173" i="17"/>
  <c r="I157" i="17"/>
  <c r="I141" i="17"/>
  <c r="I597" i="17"/>
  <c r="J603" i="17"/>
  <c r="I609" i="17"/>
  <c r="A624" i="17"/>
  <c r="I598" i="17"/>
  <c r="J582" i="17"/>
  <c r="J566" i="17"/>
  <c r="J550" i="17"/>
  <c r="J575" i="17"/>
  <c r="J543" i="17"/>
  <c r="J527" i="17"/>
  <c r="I576" i="17"/>
  <c r="I544" i="17"/>
  <c r="J528" i="17"/>
  <c r="I513" i="17"/>
  <c r="I497" i="17"/>
  <c r="I481" i="17"/>
  <c r="I465" i="17"/>
  <c r="I449" i="17"/>
  <c r="I433" i="17"/>
  <c r="I417" i="17"/>
  <c r="I504" i="17"/>
  <c r="I488" i="17"/>
  <c r="I472" i="17"/>
  <c r="I456" i="17"/>
  <c r="I440" i="17"/>
  <c r="I424" i="17"/>
  <c r="I408" i="17"/>
  <c r="I392" i="17"/>
  <c r="I376" i="17"/>
  <c r="I360" i="17"/>
  <c r="I344" i="17"/>
  <c r="I328" i="17"/>
  <c r="J414" i="17"/>
  <c r="J398" i="17"/>
  <c r="J382" i="17"/>
  <c r="J366" i="17"/>
  <c r="J350" i="17"/>
  <c r="J334" i="17"/>
  <c r="J318" i="17"/>
  <c r="I302" i="17"/>
  <c r="I286" i="17"/>
  <c r="I270" i="17"/>
  <c r="I254" i="17"/>
  <c r="I238" i="17"/>
  <c r="I222" i="17"/>
  <c r="I206" i="17"/>
  <c r="I190" i="17"/>
  <c r="I174" i="17"/>
  <c r="I158" i="17"/>
  <c r="I142" i="17"/>
  <c r="I126" i="17"/>
  <c r="I110" i="17"/>
  <c r="I439" i="17"/>
  <c r="J564" i="17"/>
  <c r="J364" i="17"/>
  <c r="J388" i="17"/>
  <c r="J408" i="17"/>
  <c r="I326" i="17"/>
  <c r="I350" i="17"/>
  <c r="I370" i="17"/>
  <c r="I390" i="17"/>
  <c r="I418" i="17"/>
  <c r="I454" i="17"/>
  <c r="I510" i="17"/>
  <c r="I455" i="17"/>
  <c r="I511" i="17"/>
  <c r="I564" i="17"/>
  <c r="J563" i="17"/>
  <c r="J588" i="17"/>
  <c r="J356" i="17"/>
  <c r="J376" i="17"/>
  <c r="J396" i="17"/>
  <c r="I318" i="17"/>
  <c r="I338" i="17"/>
  <c r="I358" i="17"/>
  <c r="I382" i="17"/>
  <c r="I406" i="17"/>
  <c r="I434" i="17"/>
  <c r="I478" i="17"/>
  <c r="I431" i="17"/>
  <c r="I479" i="17"/>
  <c r="J522" i="17"/>
  <c r="J533" i="17"/>
  <c r="J556" i="17"/>
  <c r="I612" i="17"/>
  <c r="I402" i="17"/>
  <c r="I422" i="17"/>
  <c r="I450" i="17"/>
  <c r="I486" i="17"/>
  <c r="I427" i="17"/>
  <c r="I459" i="17"/>
  <c r="I495" i="17"/>
  <c r="J538" i="17"/>
  <c r="J525" i="17"/>
  <c r="J571" i="17"/>
  <c r="J576" i="17"/>
  <c r="J598" i="17"/>
  <c r="I466" i="17"/>
  <c r="I494" i="17"/>
  <c r="I518" i="17"/>
  <c r="I447" i="17"/>
  <c r="I475" i="17"/>
  <c r="I503" i="17"/>
  <c r="J534" i="17"/>
  <c r="I572" i="17"/>
  <c r="J537" i="17"/>
  <c r="J544" i="17"/>
  <c r="J572" i="17"/>
  <c r="I596" i="17"/>
  <c r="I608" i="17"/>
  <c r="I438" i="17"/>
  <c r="I462" i="17"/>
  <c r="I482" i="17"/>
  <c r="I502" i="17"/>
  <c r="I423" i="17"/>
  <c r="I443" i="17"/>
  <c r="I463" i="17"/>
  <c r="I487" i="17"/>
  <c r="I507" i="17"/>
  <c r="J526" i="17"/>
  <c r="I556" i="17"/>
  <c r="J521" i="17"/>
  <c r="J541" i="17"/>
  <c r="J587" i="17"/>
  <c r="J560" i="17"/>
  <c r="J580" i="17"/>
  <c r="I604" i="17"/>
  <c r="J602" i="17"/>
  <c r="M81" i="17"/>
  <c r="N15" i="17"/>
  <c r="N19" i="17"/>
  <c r="N23" i="17"/>
  <c r="N27" i="17"/>
  <c r="N31" i="17"/>
  <c r="N35" i="17"/>
  <c r="N39" i="17"/>
  <c r="N43" i="17"/>
  <c r="N47" i="17"/>
  <c r="N51" i="17"/>
  <c r="N55" i="17"/>
  <c r="N59" i="17"/>
  <c r="N63" i="17"/>
  <c r="N67" i="17"/>
  <c r="N71" i="17"/>
  <c r="N75" i="17"/>
  <c r="N79" i="17"/>
  <c r="N83" i="17"/>
  <c r="N87" i="17"/>
  <c r="N91" i="17"/>
  <c r="N95" i="17"/>
  <c r="N99" i="17"/>
  <c r="N103" i="17"/>
  <c r="N107" i="17"/>
  <c r="N111" i="17"/>
  <c r="N115" i="17"/>
  <c r="N16" i="17"/>
  <c r="N20" i="17"/>
  <c r="N24" i="17"/>
  <c r="N28" i="17"/>
  <c r="N32" i="17"/>
  <c r="N36" i="17"/>
  <c r="N40" i="17"/>
  <c r="N44" i="17"/>
  <c r="N48" i="17"/>
  <c r="N52" i="17"/>
  <c r="N56" i="17"/>
  <c r="N60" i="17"/>
  <c r="N64" i="17"/>
  <c r="N68" i="17"/>
  <c r="N72" i="17"/>
  <c r="N76" i="17"/>
  <c r="N80" i="17"/>
  <c r="N84" i="17"/>
  <c r="N88" i="17"/>
  <c r="N92" i="17"/>
  <c r="N96" i="17"/>
  <c r="N100" i="17"/>
  <c r="N104" i="17"/>
  <c r="N108" i="17"/>
  <c r="N112" i="17"/>
  <c r="N116" i="17"/>
  <c r="N120" i="17"/>
  <c r="N124" i="17"/>
  <c r="N128" i="17"/>
  <c r="N132" i="17"/>
  <c r="N136" i="17"/>
  <c r="N140" i="17"/>
  <c r="N144" i="17"/>
  <c r="N148" i="17"/>
  <c r="N152" i="17"/>
  <c r="N156" i="17"/>
  <c r="N160" i="17"/>
  <c r="N164" i="17"/>
  <c r="N168" i="17"/>
  <c r="N172" i="17"/>
  <c r="N176" i="17"/>
  <c r="N180" i="17"/>
  <c r="N17" i="17"/>
  <c r="N21" i="17"/>
  <c r="N25" i="17"/>
  <c r="N29" i="17"/>
  <c r="N33" i="17"/>
  <c r="N37" i="17"/>
  <c r="N41" i="17"/>
  <c r="N45" i="17"/>
  <c r="N49" i="17"/>
  <c r="N53" i="17"/>
  <c r="N57" i="17"/>
  <c r="N61" i="17"/>
  <c r="N65" i="17"/>
  <c r="N69" i="17"/>
  <c r="N73" i="17"/>
  <c r="N77" i="17"/>
  <c r="N81" i="17"/>
  <c r="N85" i="17"/>
  <c r="N89" i="17"/>
  <c r="N93" i="17"/>
  <c r="N97" i="17"/>
  <c r="N101" i="17"/>
  <c r="N105" i="17"/>
  <c r="N109" i="17"/>
  <c r="N113" i="17"/>
  <c r="N117" i="17"/>
  <c r="N121" i="17"/>
  <c r="N125" i="17"/>
  <c r="N129" i="17"/>
  <c r="N133" i="17"/>
  <c r="N137" i="17"/>
  <c r="N141" i="17"/>
  <c r="N145" i="17"/>
  <c r="N149" i="17"/>
  <c r="N153" i="17"/>
  <c r="N157" i="17"/>
  <c r="N161" i="17"/>
  <c r="N165" i="17"/>
  <c r="N169" i="17"/>
  <c r="N173" i="17"/>
  <c r="N177" i="17"/>
  <c r="N181" i="17"/>
  <c r="N18" i="17"/>
  <c r="N34" i="17"/>
  <c r="N50" i="17"/>
  <c r="N66" i="17"/>
  <c r="N82" i="17"/>
  <c r="N98" i="17"/>
  <c r="N114" i="17"/>
  <c r="N123" i="17"/>
  <c r="N131" i="17"/>
  <c r="N139" i="17"/>
  <c r="N147" i="17"/>
  <c r="N155" i="17"/>
  <c r="N163" i="17"/>
  <c r="N171" i="17"/>
  <c r="N179" i="17"/>
  <c r="N185" i="17"/>
  <c r="N189" i="17"/>
  <c r="N193" i="17"/>
  <c r="N197" i="17"/>
  <c r="N201" i="17"/>
  <c r="N205" i="17"/>
  <c r="N209" i="17"/>
  <c r="N213" i="17"/>
  <c r="N217" i="17"/>
  <c r="N221" i="17"/>
  <c r="N225" i="17"/>
  <c r="N229" i="17"/>
  <c r="N233" i="17"/>
  <c r="N237" i="17"/>
  <c r="N241" i="17"/>
  <c r="N245" i="17"/>
  <c r="N249" i="17"/>
  <c r="N253" i="17"/>
  <c r="N257" i="17"/>
  <c r="N261" i="17"/>
  <c r="N265" i="17"/>
  <c r="N269" i="17"/>
  <c r="N273" i="17"/>
  <c r="N277" i="17"/>
  <c r="N281" i="17"/>
  <c r="N285" i="17"/>
  <c r="N289" i="17"/>
  <c r="N293" i="17"/>
  <c r="N297" i="17"/>
  <c r="N301" i="17"/>
  <c r="N305" i="17"/>
  <c r="N309" i="17"/>
  <c r="N313" i="17"/>
  <c r="N317" i="17"/>
  <c r="N321" i="17"/>
  <c r="N325" i="17"/>
  <c r="N329" i="17"/>
  <c r="N333" i="17"/>
  <c r="N337" i="17"/>
  <c r="N341" i="17"/>
  <c r="N345" i="17"/>
  <c r="N349" i="17"/>
  <c r="N353" i="17"/>
  <c r="N357" i="17"/>
  <c r="N361" i="17"/>
  <c r="N365" i="17"/>
  <c r="N369" i="17"/>
  <c r="N373" i="17"/>
  <c r="N377" i="17"/>
  <c r="N381" i="17"/>
  <c r="N385" i="17"/>
  <c r="N389" i="17"/>
  <c r="N393" i="17"/>
  <c r="N397" i="17"/>
  <c r="N401" i="17"/>
  <c r="N405" i="17"/>
  <c r="N409" i="17"/>
  <c r="N413" i="17"/>
  <c r="N417" i="17"/>
  <c r="N421" i="17"/>
  <c r="N425" i="17"/>
  <c r="N429" i="17"/>
  <c r="N433" i="17"/>
  <c r="N437" i="17"/>
  <c r="N441" i="17"/>
  <c r="N445" i="17"/>
  <c r="N449" i="17"/>
  <c r="N453" i="17"/>
  <c r="N457" i="17"/>
  <c r="N461" i="17"/>
  <c r="N465" i="17"/>
  <c r="N469" i="17"/>
  <c r="N473" i="17"/>
  <c r="N477" i="17"/>
  <c r="N481" i="17"/>
  <c r="N485" i="17"/>
  <c r="N489" i="17"/>
  <c r="N493" i="17"/>
  <c r="N497" i="17"/>
  <c r="N501" i="17"/>
  <c r="N505" i="17"/>
  <c r="N509" i="17"/>
  <c r="N513" i="17"/>
  <c r="N517" i="17"/>
  <c r="N521" i="17"/>
  <c r="N525" i="17"/>
  <c r="N529" i="17"/>
  <c r="N533" i="17"/>
  <c r="N537" i="17"/>
  <c r="N541" i="17"/>
  <c r="N545" i="17"/>
  <c r="N549" i="17"/>
  <c r="N553" i="17"/>
  <c r="N557" i="17"/>
  <c r="N561" i="17"/>
  <c r="N565" i="17"/>
  <c r="N569" i="17"/>
  <c r="N573" i="17"/>
  <c r="N22" i="17"/>
  <c r="N38" i="17"/>
  <c r="N54" i="17"/>
  <c r="N70" i="17"/>
  <c r="N86" i="17"/>
  <c r="N102" i="17"/>
  <c r="N118" i="17"/>
  <c r="N126" i="17"/>
  <c r="N134" i="17"/>
  <c r="N142" i="17"/>
  <c r="N150" i="17"/>
  <c r="N158" i="17"/>
  <c r="N166" i="17"/>
  <c r="N174" i="17"/>
  <c r="N182" i="17"/>
  <c r="N186" i="17"/>
  <c r="N190" i="17"/>
  <c r="N194" i="17"/>
  <c r="N198" i="17"/>
  <c r="N202" i="17"/>
  <c r="N206" i="17"/>
  <c r="N210" i="17"/>
  <c r="N214" i="17"/>
  <c r="N218" i="17"/>
  <c r="N222" i="17"/>
  <c r="N226" i="17"/>
  <c r="N230" i="17"/>
  <c r="N234" i="17"/>
  <c r="N238" i="17"/>
  <c r="N242" i="17"/>
  <c r="N246" i="17"/>
  <c r="N250" i="17"/>
  <c r="N254" i="17"/>
  <c r="N258" i="17"/>
  <c r="N262" i="17"/>
  <c r="N266" i="17"/>
  <c r="N270" i="17"/>
  <c r="N274" i="17"/>
  <c r="N278" i="17"/>
  <c r="N282" i="17"/>
  <c r="N286" i="17"/>
  <c r="N290" i="17"/>
  <c r="N294" i="17"/>
  <c r="N298" i="17"/>
  <c r="N302" i="17"/>
  <c r="N306" i="17"/>
  <c r="N310" i="17"/>
  <c r="N314" i="17"/>
  <c r="N318" i="17"/>
  <c r="N322" i="17"/>
  <c r="N326" i="17"/>
  <c r="N330" i="17"/>
  <c r="N334" i="17"/>
  <c r="N338" i="17"/>
  <c r="N342" i="17"/>
  <c r="N346" i="17"/>
  <c r="N350" i="17"/>
  <c r="N354" i="17"/>
  <c r="N358" i="17"/>
  <c r="N362" i="17"/>
  <c r="N366" i="17"/>
  <c r="N370" i="17"/>
  <c r="N374" i="17"/>
  <c r="N378" i="17"/>
  <c r="N382" i="17"/>
  <c r="N386" i="17"/>
  <c r="N390" i="17"/>
  <c r="N394" i="17"/>
  <c r="N398" i="17"/>
  <c r="N402" i="17"/>
  <c r="N406" i="17"/>
  <c r="N410" i="17"/>
  <c r="N414" i="17"/>
  <c r="N418" i="17"/>
  <c r="N422" i="17"/>
  <c r="N426" i="17"/>
  <c r="N430" i="17"/>
  <c r="N434" i="17"/>
  <c r="N438" i="17"/>
  <c r="N442" i="17"/>
  <c r="N446" i="17"/>
  <c r="N450" i="17"/>
  <c r="N454" i="17"/>
  <c r="N458" i="17"/>
  <c r="N462" i="17"/>
  <c r="N466" i="17"/>
  <c r="N470" i="17"/>
  <c r="N474" i="17"/>
  <c r="N478" i="17"/>
  <c r="N482" i="17"/>
  <c r="N486" i="17"/>
  <c r="N490" i="17"/>
  <c r="N494" i="17"/>
  <c r="N498" i="17"/>
  <c r="N502" i="17"/>
  <c r="N506" i="17"/>
  <c r="N510" i="17"/>
  <c r="N514" i="17"/>
  <c r="N518" i="17"/>
  <c r="N522" i="17"/>
  <c r="N526" i="17"/>
  <c r="N530" i="17"/>
  <c r="N534" i="17"/>
  <c r="N538" i="17"/>
  <c r="N542" i="17"/>
  <c r="N546" i="17"/>
  <c r="N550" i="17"/>
  <c r="N554" i="17"/>
  <c r="N558" i="17"/>
  <c r="N562" i="17"/>
  <c r="N566" i="17"/>
  <c r="N570" i="17"/>
  <c r="N574" i="17"/>
  <c r="N578" i="17"/>
  <c r="N582" i="17"/>
  <c r="N586" i="17"/>
  <c r="N590" i="17"/>
  <c r="N594" i="17"/>
  <c r="N598" i="17"/>
  <c r="N602" i="17"/>
  <c r="N606" i="17"/>
  <c r="N610" i="17"/>
  <c r="N14" i="17"/>
  <c r="N26" i="17"/>
  <c r="N42" i="17"/>
  <c r="N58" i="17"/>
  <c r="N74" i="17"/>
  <c r="N90" i="17"/>
  <c r="N106" i="17"/>
  <c r="N119" i="17"/>
  <c r="N127" i="17"/>
  <c r="N135" i="17"/>
  <c r="N143" i="17"/>
  <c r="N151" i="17"/>
  <c r="N159" i="17"/>
  <c r="N167" i="17"/>
  <c r="N175" i="17"/>
  <c r="N183" i="17"/>
  <c r="N187" i="17"/>
  <c r="N191" i="17"/>
  <c r="N195" i="17"/>
  <c r="N199" i="17"/>
  <c r="N203" i="17"/>
  <c r="N207" i="17"/>
  <c r="N211" i="17"/>
  <c r="N215" i="17"/>
  <c r="N219" i="17"/>
  <c r="N223" i="17"/>
  <c r="N227" i="17"/>
  <c r="N231" i="17"/>
  <c r="N235" i="17"/>
  <c r="V235" i="17" s="1"/>
  <c r="N239" i="17"/>
  <c r="N243" i="17"/>
  <c r="N247" i="17"/>
  <c r="N251" i="17"/>
  <c r="N255" i="17"/>
  <c r="N259" i="17"/>
  <c r="N263" i="17"/>
  <c r="N267" i="17"/>
  <c r="N271" i="17"/>
  <c r="N275" i="17"/>
  <c r="N279" i="17"/>
  <c r="N283" i="17"/>
  <c r="N287" i="17"/>
  <c r="N291" i="17"/>
  <c r="N295" i="17"/>
  <c r="N299" i="17"/>
  <c r="N303" i="17"/>
  <c r="N307" i="17"/>
  <c r="N311" i="17"/>
  <c r="N315" i="17"/>
  <c r="N319" i="17"/>
  <c r="N323" i="17"/>
  <c r="N327" i="17"/>
  <c r="N331" i="17"/>
  <c r="N335" i="17"/>
  <c r="N339" i="17"/>
  <c r="N343" i="17"/>
  <c r="N347" i="17"/>
  <c r="N351" i="17"/>
  <c r="N355" i="17"/>
  <c r="N359" i="17"/>
  <c r="N363" i="17"/>
  <c r="N367" i="17"/>
  <c r="N371" i="17"/>
  <c r="N375" i="17"/>
  <c r="N379" i="17"/>
  <c r="N383" i="17"/>
  <c r="N387" i="17"/>
  <c r="N391" i="17"/>
  <c r="N395" i="17"/>
  <c r="N399" i="17"/>
  <c r="N403" i="17"/>
  <c r="N407" i="17"/>
  <c r="N411" i="17"/>
  <c r="N415" i="17"/>
  <c r="N419" i="17"/>
  <c r="N423" i="17"/>
  <c r="N427" i="17"/>
  <c r="N431" i="17"/>
  <c r="N435" i="17"/>
  <c r="N439" i="17"/>
  <c r="N443" i="17"/>
  <c r="N447" i="17"/>
  <c r="N451" i="17"/>
  <c r="N455" i="17"/>
  <c r="N459" i="17"/>
  <c r="N463" i="17"/>
  <c r="N467" i="17"/>
  <c r="N471" i="17"/>
  <c r="N475" i="17"/>
  <c r="N479" i="17"/>
  <c r="N483" i="17"/>
  <c r="N487" i="17"/>
  <c r="N491" i="17"/>
  <c r="N495" i="17"/>
  <c r="N499" i="17"/>
  <c r="N503" i="17"/>
  <c r="N507" i="17"/>
  <c r="N511" i="17"/>
  <c r="N515" i="17"/>
  <c r="N519" i="17"/>
  <c r="N523" i="17"/>
  <c r="N527" i="17"/>
  <c r="N531" i="17"/>
  <c r="N535" i="17"/>
  <c r="N539" i="17"/>
  <c r="N543" i="17"/>
  <c r="N547" i="17"/>
  <c r="N551" i="17"/>
  <c r="N555" i="17"/>
  <c r="N559" i="17"/>
  <c r="N563" i="17"/>
  <c r="N567" i="17"/>
  <c r="N571" i="17"/>
  <c r="N575" i="17"/>
  <c r="N579" i="17"/>
  <c r="N583" i="17"/>
  <c r="N587" i="17"/>
  <c r="N591" i="17"/>
  <c r="N595" i="17"/>
  <c r="N599" i="17"/>
  <c r="N603" i="17"/>
  <c r="N607" i="17"/>
  <c r="N611" i="17"/>
  <c r="N30" i="17"/>
  <c r="N94" i="17"/>
  <c r="N138" i="17"/>
  <c r="N170" i="17"/>
  <c r="N192" i="17"/>
  <c r="N208" i="17"/>
  <c r="N224" i="17"/>
  <c r="N240" i="17"/>
  <c r="N256" i="17"/>
  <c r="N272" i="17"/>
  <c r="N288" i="17"/>
  <c r="N304" i="17"/>
  <c r="N320" i="17"/>
  <c r="N336" i="17"/>
  <c r="N352" i="17"/>
  <c r="N368" i="17"/>
  <c r="N384" i="17"/>
  <c r="N400" i="17"/>
  <c r="N416" i="17"/>
  <c r="N432" i="17"/>
  <c r="N448" i="17"/>
  <c r="N464" i="17"/>
  <c r="N480" i="17"/>
  <c r="N496" i="17"/>
  <c r="N512" i="17"/>
  <c r="N528" i="17"/>
  <c r="N544" i="17"/>
  <c r="N560" i="17"/>
  <c r="N576" i="17"/>
  <c r="N584" i="17"/>
  <c r="N592" i="17"/>
  <c r="N600" i="17"/>
  <c r="N608" i="17"/>
  <c r="N46" i="17"/>
  <c r="N110" i="17"/>
  <c r="N146" i="17"/>
  <c r="N178" i="17"/>
  <c r="N196" i="17"/>
  <c r="N212" i="17"/>
  <c r="N228" i="17"/>
  <c r="N244" i="17"/>
  <c r="N260" i="17"/>
  <c r="N276" i="17"/>
  <c r="N292" i="17"/>
  <c r="N308" i="17"/>
  <c r="N324" i="17"/>
  <c r="N340" i="17"/>
  <c r="N356" i="17"/>
  <c r="N372" i="17"/>
  <c r="N388" i="17"/>
  <c r="N404" i="17"/>
  <c r="N420" i="17"/>
  <c r="N436" i="17"/>
  <c r="N452" i="17"/>
  <c r="N468" i="17"/>
  <c r="N484" i="17"/>
  <c r="N500" i="17"/>
  <c r="N516" i="17"/>
  <c r="N532" i="17"/>
  <c r="N548" i="17"/>
  <c r="N564" i="17"/>
  <c r="N577" i="17"/>
  <c r="N585" i="17"/>
  <c r="N593" i="17"/>
  <c r="N601" i="17"/>
  <c r="N609" i="17"/>
  <c r="N62" i="17"/>
  <c r="N122" i="17"/>
  <c r="N154" i="17"/>
  <c r="N184" i="17"/>
  <c r="N200" i="17"/>
  <c r="N216" i="17"/>
  <c r="N232" i="17"/>
  <c r="N248" i="17"/>
  <c r="N264" i="17"/>
  <c r="N280" i="17"/>
  <c r="N296" i="17"/>
  <c r="N312" i="17"/>
  <c r="N328" i="17"/>
  <c r="N344" i="17"/>
  <c r="N360" i="17"/>
  <c r="N376" i="17"/>
  <c r="N392" i="17"/>
  <c r="N408" i="17"/>
  <c r="N424" i="17"/>
  <c r="N440" i="17"/>
  <c r="N456" i="17"/>
  <c r="N472" i="17"/>
  <c r="N488" i="17"/>
  <c r="N504" i="17"/>
  <c r="N520" i="17"/>
  <c r="N536" i="17"/>
  <c r="N552" i="17"/>
  <c r="N568" i="17"/>
  <c r="N580" i="17"/>
  <c r="N588" i="17"/>
  <c r="N596" i="17"/>
  <c r="N604" i="17"/>
  <c r="N612" i="17"/>
  <c r="N78" i="17"/>
  <c r="N204" i="17"/>
  <c r="N268" i="17"/>
  <c r="N332" i="17"/>
  <c r="N396" i="17"/>
  <c r="N460" i="17"/>
  <c r="N524" i="17"/>
  <c r="N581" i="17"/>
  <c r="N613" i="17"/>
  <c r="N130" i="17"/>
  <c r="N220" i="17"/>
  <c r="N284" i="17"/>
  <c r="N348" i="17"/>
  <c r="N412" i="17"/>
  <c r="N476" i="17"/>
  <c r="N540" i="17"/>
  <c r="N589" i="17"/>
  <c r="N162" i="17"/>
  <c r="N236" i="17"/>
  <c r="N300" i="17"/>
  <c r="N364" i="17"/>
  <c r="N428" i="17"/>
  <c r="N492" i="17"/>
  <c r="N556" i="17"/>
  <c r="N597" i="17"/>
  <c r="N188" i="17"/>
  <c r="N252" i="17"/>
  <c r="N316" i="17"/>
  <c r="N380" i="17"/>
  <c r="N444" i="17"/>
  <c r="N508" i="17"/>
  <c r="N572" i="17"/>
  <c r="N605" i="17"/>
  <c r="J606" i="17"/>
  <c r="J610" i="17"/>
  <c r="I240" i="17"/>
  <c r="I256" i="17"/>
  <c r="I272" i="17"/>
  <c r="I288" i="17"/>
  <c r="I304" i="17"/>
  <c r="J320" i="17"/>
  <c r="J336" i="17"/>
  <c r="J352" i="17"/>
  <c r="J368" i="17"/>
  <c r="J384" i="17"/>
  <c r="J400" i="17"/>
  <c r="J416" i="17"/>
  <c r="I330" i="17"/>
  <c r="I346" i="17"/>
  <c r="I362" i="17"/>
  <c r="I378" i="17"/>
  <c r="I394" i="17"/>
  <c r="I410" i="17"/>
  <c r="I426" i="17"/>
  <c r="I442" i="17"/>
  <c r="I458" i="17"/>
  <c r="I474" i="17"/>
  <c r="I490" i="17"/>
  <c r="I506" i="17"/>
  <c r="I419" i="17"/>
  <c r="I435" i="17"/>
  <c r="I451" i="17"/>
  <c r="I467" i="17"/>
  <c r="I483" i="17"/>
  <c r="I499" i="17"/>
  <c r="I515" i="17"/>
  <c r="J530" i="17"/>
  <c r="I548" i="17"/>
  <c r="I580" i="17"/>
  <c r="J529" i="17"/>
  <c r="J547" i="17"/>
  <c r="J579" i="17"/>
  <c r="J552" i="17"/>
  <c r="J568" i="17"/>
  <c r="J584" i="17"/>
  <c r="I600" i="17"/>
  <c r="C634" i="17"/>
  <c r="I613" i="17"/>
  <c r="T22" i="27"/>
  <c r="T42" i="27"/>
  <c r="T70" i="27"/>
  <c r="T92" i="27"/>
  <c r="T13" i="27"/>
  <c r="T15" i="27"/>
  <c r="T27" i="27"/>
  <c r="T30" i="27"/>
  <c r="T87" i="27"/>
  <c r="T14" i="27"/>
  <c r="T39" i="27"/>
  <c r="T66" i="27"/>
  <c r="T57" i="27"/>
  <c r="Z57" i="27" s="1"/>
  <c r="T68" i="27"/>
  <c r="Z68" i="27" s="1"/>
  <c r="T59" i="27"/>
  <c r="T28" i="27"/>
  <c r="T17" i="27"/>
  <c r="Z17" i="27" s="1"/>
  <c r="T58" i="27"/>
  <c r="T65" i="27"/>
  <c r="Z65" i="27" s="1"/>
  <c r="T60" i="27"/>
  <c r="T67" i="27"/>
  <c r="T33" i="27"/>
  <c r="T93" i="27"/>
  <c r="V65" i="27"/>
  <c r="T61" i="27"/>
  <c r="Z61" i="27" s="1"/>
  <c r="T63" i="27"/>
  <c r="T45" i="27"/>
  <c r="V61" i="27"/>
  <c r="T62" i="27"/>
  <c r="V57" i="27"/>
  <c r="V68" i="27"/>
  <c r="T64" i="27"/>
  <c r="T38" i="27"/>
  <c r="T71" i="27"/>
  <c r="T88" i="27"/>
  <c r="T29" i="27"/>
  <c r="T82" i="27"/>
  <c r="T56" i="27"/>
  <c r="T51" i="27"/>
  <c r="Z51" i="27" s="1"/>
  <c r="T72" i="27"/>
  <c r="T54" i="27"/>
  <c r="T52" i="27"/>
  <c r="T78" i="27"/>
  <c r="T55" i="27"/>
  <c r="T73" i="27"/>
  <c r="T77" i="27"/>
  <c r="V51" i="27"/>
  <c r="X51" i="27" s="1"/>
  <c r="V17" i="27"/>
  <c r="X17" i="27" s="1"/>
  <c r="T74" i="27"/>
  <c r="T75" i="27"/>
  <c r="T76" i="27"/>
  <c r="T79" i="27"/>
  <c r="T50" i="27"/>
  <c r="T53" i="27"/>
  <c r="T69" i="27"/>
  <c r="T96" i="27"/>
  <c r="T97" i="27"/>
  <c r="M345" i="17"/>
  <c r="M572" i="17"/>
  <c r="M36" i="17"/>
  <c r="M263" i="17"/>
  <c r="M417" i="17"/>
  <c r="M297" i="17"/>
  <c r="M494" i="17"/>
  <c r="M277" i="17"/>
  <c r="M151" i="17"/>
  <c r="M283" i="17"/>
  <c r="M487" i="17"/>
  <c r="M326" i="17"/>
  <c r="M435" i="17"/>
  <c r="M320" i="17"/>
  <c r="M237" i="17"/>
  <c r="M252" i="17"/>
  <c r="M381" i="17"/>
  <c r="M560" i="17"/>
  <c r="M612" i="17"/>
  <c r="M454" i="17"/>
  <c r="M212" i="17"/>
  <c r="M402" i="17"/>
  <c r="M314" i="17"/>
  <c r="M161" i="17"/>
  <c r="M578" i="17"/>
  <c r="M30" i="17"/>
  <c r="M465" i="17"/>
  <c r="M166" i="17"/>
  <c r="M400" i="17"/>
  <c r="M208" i="17"/>
  <c r="M600" i="17"/>
  <c r="M178" i="17"/>
  <c r="M479" i="17"/>
  <c r="M540" i="17"/>
  <c r="M76" i="17"/>
  <c r="M406" i="17"/>
  <c r="M312" i="17"/>
  <c r="M468" i="17"/>
  <c r="M517" i="17"/>
  <c r="M515" i="17"/>
  <c r="M383" i="17"/>
  <c r="M58" i="17"/>
  <c r="M488" i="17"/>
  <c r="M172" i="17"/>
  <c r="M607" i="17"/>
  <c r="M218" i="17"/>
  <c r="M385" i="17"/>
  <c r="M259" i="17"/>
  <c r="M125" i="17"/>
  <c r="M63" i="17"/>
  <c r="M45" i="17"/>
  <c r="M543" i="17"/>
  <c r="M246" i="17"/>
  <c r="M561" i="17"/>
  <c r="M482" i="17"/>
  <c r="M24" i="17"/>
  <c r="M123" i="17"/>
  <c r="M366" i="17"/>
  <c r="M300" i="17"/>
  <c r="M152" i="17"/>
  <c r="M372" i="17"/>
  <c r="M138" i="17"/>
  <c r="M437" i="17"/>
  <c r="M475" i="17"/>
  <c r="M335" i="17"/>
  <c r="N622" i="17"/>
  <c r="M90" i="17"/>
  <c r="M333" i="17"/>
  <c r="M559" i="17"/>
  <c r="M209" i="17"/>
  <c r="M442" i="17"/>
  <c r="M232" i="17"/>
  <c r="M428" i="17"/>
  <c r="M179" i="17"/>
  <c r="N628" i="17"/>
  <c r="M199" i="17"/>
  <c r="M41" i="17"/>
  <c r="M555" i="17"/>
  <c r="M92" i="17"/>
  <c r="M99" i="17"/>
  <c r="M525" i="17"/>
  <c r="M84" i="17"/>
  <c r="M20" i="17"/>
  <c r="M83" i="17"/>
  <c r="M155" i="17"/>
  <c r="M363" i="17"/>
  <c r="M541" i="17"/>
  <c r="M219" i="17"/>
  <c r="M97" i="17"/>
  <c r="M17" i="17"/>
  <c r="M96" i="17"/>
  <c r="M64" i="17"/>
  <c r="M32" i="17"/>
  <c r="M159" i="17"/>
  <c r="M107" i="17"/>
  <c r="M43" i="17"/>
  <c r="N13" i="17"/>
  <c r="M173" i="17"/>
  <c r="M339" i="17"/>
  <c r="M403" i="17"/>
  <c r="M455" i="17"/>
  <c r="M520" i="17"/>
  <c r="M532" i="17"/>
  <c r="M121" i="17"/>
  <c r="M321" i="17"/>
  <c r="M377" i="17"/>
  <c r="M429" i="17"/>
  <c r="M493" i="17"/>
  <c r="M566" i="17"/>
  <c r="M551" i="17"/>
  <c r="M247" i="17"/>
  <c r="M114" i="17"/>
  <c r="M85" i="17"/>
  <c r="M251" i="17"/>
  <c r="M60" i="17"/>
  <c r="M189" i="17"/>
  <c r="M137" i="17"/>
  <c r="M52" i="17"/>
  <c r="M626" i="17"/>
  <c r="M447" i="17"/>
  <c r="M33" i="17"/>
  <c r="M80" i="17"/>
  <c r="M40" i="17"/>
  <c r="M117" i="17"/>
  <c r="M75" i="17"/>
  <c r="M323" i="17"/>
  <c r="M471" i="17"/>
  <c r="M554" i="17"/>
  <c r="M571" i="17"/>
  <c r="M153" i="17"/>
  <c r="M361" i="17"/>
  <c r="M509" i="17"/>
  <c r="M538" i="17"/>
  <c r="M215" i="17"/>
  <c r="M130" i="17"/>
  <c r="M194" i="17"/>
  <c r="M258" i="17"/>
  <c r="M348" i="17"/>
  <c r="M412" i="17"/>
  <c r="M476" i="17"/>
  <c r="M584" i="17"/>
  <c r="M599" i="17"/>
  <c r="M589" i="17"/>
  <c r="M221" i="17"/>
  <c r="M285" i="17"/>
  <c r="M144" i="17"/>
  <c r="M264" i="17"/>
  <c r="M418" i="17"/>
  <c r="M597" i="17"/>
  <c r="M580" i="17"/>
  <c r="M474" i="17"/>
  <c r="M410" i="17"/>
  <c r="M346" i="17"/>
  <c r="M256" i="17"/>
  <c r="M192" i="17"/>
  <c r="M140" i="17"/>
  <c r="M313" i="17"/>
  <c r="M281" i="17"/>
  <c r="M249" i="17"/>
  <c r="M217" i="17"/>
  <c r="M585" i="17"/>
  <c r="M553" i="17"/>
  <c r="M595" i="17"/>
  <c r="M576" i="17"/>
  <c r="M504" i="17"/>
  <c r="M472" i="17"/>
  <c r="M440" i="17"/>
  <c r="M408" i="17"/>
  <c r="M376" i="17"/>
  <c r="M344" i="17"/>
  <c r="M286" i="17"/>
  <c r="M254" i="17"/>
  <c r="M222" i="17"/>
  <c r="M190" i="17"/>
  <c r="M158" i="17"/>
  <c r="M126" i="17"/>
  <c r="M299" i="17"/>
  <c r="M267" i="17"/>
  <c r="M207" i="17"/>
  <c r="M575" i="17"/>
  <c r="M590" i="17"/>
  <c r="M535" i="17"/>
  <c r="M505" i="17"/>
  <c r="M473" i="17"/>
  <c r="M441" i="17"/>
  <c r="M389" i="17"/>
  <c r="M357" i="17"/>
  <c r="N623" i="17"/>
  <c r="M61" i="17"/>
  <c r="M29" i="17"/>
  <c r="M102" i="17"/>
  <c r="M86" i="17"/>
  <c r="M70" i="17"/>
  <c r="M54" i="17"/>
  <c r="M38" i="17"/>
  <c r="M22" i="17"/>
  <c r="M135" i="17"/>
  <c r="M133" i="17"/>
  <c r="M623" i="17"/>
  <c r="M87" i="17"/>
  <c r="M55" i="17"/>
  <c r="M23" i="17"/>
  <c r="M111" i="17"/>
  <c r="M108" i="17"/>
  <c r="M495" i="17"/>
  <c r="M35" i="17"/>
  <c r="M411" i="17"/>
  <c r="M143" i="17"/>
  <c r="M511" i="17"/>
  <c r="M169" i="17"/>
  <c r="M65" i="17"/>
  <c r="M72" i="17"/>
  <c r="M16" i="17"/>
  <c r="M91" i="17"/>
  <c r="M371" i="17"/>
  <c r="M503" i="17"/>
  <c r="M185" i="17"/>
  <c r="M393" i="17"/>
  <c r="M523" i="17"/>
  <c r="M583" i="17"/>
  <c r="M303" i="17"/>
  <c r="M210" i="17"/>
  <c r="M290" i="17"/>
  <c r="M364" i="17"/>
  <c r="M444" i="17"/>
  <c r="M518" i="17"/>
  <c r="M602" i="17"/>
  <c r="M253" i="17"/>
  <c r="M128" i="17"/>
  <c r="M296" i="17"/>
  <c r="M354" i="17"/>
  <c r="M514" i="17"/>
  <c r="M506" i="17"/>
  <c r="M426" i="17"/>
  <c r="M330" i="17"/>
  <c r="M272" i="17"/>
  <c r="M176" i="17"/>
  <c r="M124" i="17"/>
  <c r="M289" i="17"/>
  <c r="M241" i="17"/>
  <c r="M201" i="17"/>
  <c r="M593" i="17"/>
  <c r="M545" i="17"/>
  <c r="M598" i="17"/>
  <c r="M544" i="17"/>
  <c r="M480" i="17"/>
  <c r="M432" i="17"/>
  <c r="M392" i="17"/>
  <c r="M352" i="17"/>
  <c r="M278" i="17"/>
  <c r="M238" i="17"/>
  <c r="M198" i="17"/>
  <c r="M150" i="17"/>
  <c r="M110" i="17"/>
  <c r="M275" i="17"/>
  <c r="M526" i="17"/>
  <c r="M527" i="17"/>
  <c r="M489" i="17"/>
  <c r="M449" i="17"/>
  <c r="M397" i="17"/>
  <c r="M349" i="17"/>
  <c r="M89" i="17"/>
  <c r="M37" i="17"/>
  <c r="M106" i="17"/>
  <c r="M82" i="17"/>
  <c r="M62" i="17"/>
  <c r="M42" i="17"/>
  <c r="M18" i="17"/>
  <c r="M167" i="17"/>
  <c r="M77" i="17"/>
  <c r="M79" i="17"/>
  <c r="M39" i="17"/>
  <c r="M115" i="17"/>
  <c r="M183" i="17"/>
  <c r="M181" i="17"/>
  <c r="M343" i="17"/>
  <c r="M375" i="17"/>
  <c r="M407" i="17"/>
  <c r="M427" i="17"/>
  <c r="M459" i="17"/>
  <c r="M491" i="17"/>
  <c r="M521" i="17"/>
  <c r="M562" i="17"/>
  <c r="M536" i="17"/>
  <c r="M547" i="17"/>
  <c r="M243" i="17"/>
  <c r="M129" i="17"/>
  <c r="M193" i="17"/>
  <c r="M317" i="17"/>
  <c r="M369" i="17"/>
  <c r="M421" i="17"/>
  <c r="M485" i="17"/>
  <c r="M550" i="17"/>
  <c r="M231" i="17"/>
  <c r="M311" i="17"/>
  <c r="M170" i="17"/>
  <c r="M234" i="17"/>
  <c r="M298" i="17"/>
  <c r="M324" i="17"/>
  <c r="M388" i="17"/>
  <c r="M452" i="17"/>
  <c r="M516" i="17"/>
  <c r="M565" i="17"/>
  <c r="M261" i="17"/>
  <c r="M120" i="17"/>
  <c r="M216" i="17"/>
  <c r="M370" i="17"/>
  <c r="M498" i="17"/>
  <c r="M164" i="17"/>
  <c r="M196" i="17"/>
  <c r="M228" i="17"/>
  <c r="M260" i="17"/>
  <c r="M292" i="17"/>
  <c r="M318" i="17"/>
  <c r="M350" i="17"/>
  <c r="M382" i="17"/>
  <c r="M414" i="17"/>
  <c r="M446" i="17"/>
  <c r="M478" i="17"/>
  <c r="M510" i="17"/>
  <c r="M588" i="17"/>
  <c r="M601" i="17"/>
  <c r="M44" i="17"/>
  <c r="M431" i="17"/>
  <c r="M622" i="17"/>
  <c r="M100" i="17"/>
  <c r="N626" i="17"/>
  <c r="M157" i="17"/>
  <c r="M331" i="17"/>
  <c r="M524" i="17"/>
  <c r="M49" i="17"/>
  <c r="M56" i="17"/>
  <c r="M127" i="17"/>
  <c r="M59" i="17"/>
  <c r="M139" i="17"/>
  <c r="M387" i="17"/>
  <c r="M423" i="17"/>
  <c r="M533" i="17"/>
  <c r="M203" i="17"/>
  <c r="M409" i="17"/>
  <c r="M445" i="17"/>
  <c r="M539" i="17"/>
  <c r="M146" i="17"/>
  <c r="M226" i="17"/>
  <c r="M306" i="17"/>
  <c r="M380" i="17"/>
  <c r="M460" i="17"/>
  <c r="M269" i="17"/>
  <c r="M168" i="17"/>
  <c r="M386" i="17"/>
  <c r="M548" i="17"/>
  <c r="M490" i="17"/>
  <c r="M394" i="17"/>
  <c r="M240" i="17"/>
  <c r="M160" i="17"/>
  <c r="M116" i="17"/>
  <c r="M273" i="17"/>
  <c r="M233" i="17"/>
  <c r="M577" i="17"/>
  <c r="M611" i="17"/>
  <c r="M512" i="17"/>
  <c r="M464" i="17"/>
  <c r="M424" i="17"/>
  <c r="M384" i="17"/>
  <c r="M336" i="17"/>
  <c r="M310" i="17"/>
  <c r="M270" i="17"/>
  <c r="M230" i="17"/>
  <c r="M182" i="17"/>
  <c r="M142" i="17"/>
  <c r="M307" i="17"/>
  <c r="M255" i="17"/>
  <c r="M574" i="17"/>
  <c r="M519" i="17"/>
  <c r="M604" i="17"/>
  <c r="M556" i="17"/>
  <c r="M486" i="17"/>
  <c r="M438" i="17"/>
  <c r="M398" i="17"/>
  <c r="M358" i="17"/>
  <c r="M284" i="17"/>
  <c r="M244" i="17"/>
  <c r="M204" i="17"/>
  <c r="M156" i="17"/>
  <c r="M338" i="17"/>
  <c r="M280" i="17"/>
  <c r="M136" i="17"/>
  <c r="M245" i="17"/>
  <c r="M610" i="17"/>
  <c r="M436" i="17"/>
  <c r="M356" i="17"/>
  <c r="M282" i="17"/>
  <c r="M202" i="17"/>
  <c r="M122" i="17"/>
  <c r="M530" i="17"/>
  <c r="M501" i="17"/>
  <c r="M353" i="17"/>
  <c r="M145" i="17"/>
  <c r="M227" i="17"/>
  <c r="M579" i="17"/>
  <c r="M546" i="17"/>
  <c r="M507" i="17"/>
  <c r="M467" i="17"/>
  <c r="M419" i="17"/>
  <c r="M415" i="17"/>
  <c r="M367" i="17"/>
  <c r="M327" i="17"/>
  <c r="M197" i="17"/>
  <c r="M163" i="17"/>
  <c r="M15" i="17"/>
  <c r="M71" i="17"/>
  <c r="M93" i="17"/>
  <c r="M119" i="17"/>
  <c r="M34" i="17"/>
  <c r="M66" i="17"/>
  <c r="M94" i="17"/>
  <c r="M53" i="17"/>
  <c r="M341" i="17"/>
  <c r="M405" i="17"/>
  <c r="M425" i="17"/>
  <c r="M481" i="17"/>
  <c r="M558" i="17"/>
  <c r="M591" i="17"/>
  <c r="M291" i="17"/>
  <c r="M174" i="17"/>
  <c r="M262" i="17"/>
  <c r="M328" i="17"/>
  <c r="M416" i="17"/>
  <c r="M496" i="17"/>
  <c r="M592" i="17"/>
  <c r="M569" i="17"/>
  <c r="M225" i="17"/>
  <c r="M305" i="17"/>
  <c r="M224" i="17"/>
  <c r="M458" i="17"/>
  <c r="M613" i="17"/>
  <c r="M450" i="17"/>
  <c r="M200" i="17"/>
  <c r="M205" i="17"/>
  <c r="M396" i="17"/>
  <c r="M162" i="17"/>
  <c r="M522" i="17"/>
  <c r="M329" i="17"/>
  <c r="M235" i="17"/>
  <c r="M439" i="17"/>
  <c r="M27" i="17"/>
  <c r="M48" i="17"/>
  <c r="M68" i="17"/>
  <c r="M463" i="17"/>
  <c r="M570" i="17"/>
  <c r="M67" i="17"/>
  <c r="M596" i="17"/>
  <c r="M470" i="17"/>
  <c r="M430" i="17"/>
  <c r="M390" i="17"/>
  <c r="M342" i="17"/>
  <c r="M276" i="17"/>
  <c r="M236" i="17"/>
  <c r="M188" i="17"/>
  <c r="M605" i="17"/>
  <c r="M564" i="17"/>
  <c r="M466" i="17"/>
  <c r="M248" i="17"/>
  <c r="M309" i="17"/>
  <c r="M229" i="17"/>
  <c r="M581" i="17"/>
  <c r="M500" i="17"/>
  <c r="M420" i="17"/>
  <c r="M340" i="17"/>
  <c r="M266" i="17"/>
  <c r="M186" i="17"/>
  <c r="M295" i="17"/>
  <c r="M582" i="17"/>
  <c r="M469" i="17"/>
  <c r="M337" i="17"/>
  <c r="M113" i="17"/>
  <c r="M211" i="17"/>
  <c r="M563" i="17"/>
  <c r="M528" i="17"/>
  <c r="M537" i="17"/>
  <c r="M499" i="17"/>
  <c r="M451" i="17"/>
  <c r="M399" i="17"/>
  <c r="M359" i="17"/>
  <c r="M319" i="17"/>
  <c r="M165" i="17"/>
  <c r="M147" i="17"/>
  <c r="M31" i="17"/>
  <c r="M95" i="17"/>
  <c r="M109" i="17"/>
  <c r="M14" i="17"/>
  <c r="M46" i="17"/>
  <c r="M74" i="17"/>
  <c r="M98" i="17"/>
  <c r="M13" i="17"/>
  <c r="M73" i="17"/>
  <c r="M365" i="17"/>
  <c r="M413" i="17"/>
  <c r="M433" i="17"/>
  <c r="M497" i="17"/>
  <c r="M534" i="17"/>
  <c r="M223" i="17"/>
  <c r="M118" i="17"/>
  <c r="M206" i="17"/>
  <c r="M294" i="17"/>
  <c r="M360" i="17"/>
  <c r="M448" i="17"/>
  <c r="M606" i="17"/>
  <c r="M257" i="17"/>
  <c r="M132" i="17"/>
  <c r="M288" i="17"/>
  <c r="M362" i="17"/>
  <c r="M322" i="17"/>
  <c r="M112" i="17"/>
  <c r="M573" i="17"/>
  <c r="M508" i="17"/>
  <c r="M332" i="17"/>
  <c r="M274" i="17"/>
  <c r="M287" i="17"/>
  <c r="M477" i="17"/>
  <c r="M355" i="17"/>
  <c r="M141" i="17"/>
  <c r="M69" i="17"/>
  <c r="M88" i="17"/>
  <c r="M195" i="17"/>
  <c r="M19" i="17"/>
  <c r="M25" i="17"/>
  <c r="M347" i="17"/>
  <c r="M175" i="17"/>
  <c r="M379" i="17"/>
  <c r="M609" i="17"/>
  <c r="M502" i="17"/>
  <c r="M462" i="17"/>
  <c r="M422" i="17"/>
  <c r="M374" i="17"/>
  <c r="M334" i="17"/>
  <c r="M308" i="17"/>
  <c r="M268" i="17"/>
  <c r="M220" i="17"/>
  <c r="M180" i="17"/>
  <c r="M608" i="17"/>
  <c r="M434" i="17"/>
  <c r="M184" i="17"/>
  <c r="M293" i="17"/>
  <c r="M213" i="17"/>
  <c r="M549" i="17"/>
  <c r="M568" i="17"/>
  <c r="M484" i="17"/>
  <c r="M404" i="17"/>
  <c r="M250" i="17"/>
  <c r="M154" i="17"/>
  <c r="M279" i="17"/>
  <c r="M567" i="17"/>
  <c r="M531" i="17"/>
  <c r="M453" i="17"/>
  <c r="M401" i="17"/>
  <c r="M325" i="17"/>
  <c r="M177" i="17"/>
  <c r="M187" i="17"/>
  <c r="M594" i="17"/>
  <c r="M529" i="17"/>
  <c r="M483" i="17"/>
  <c r="M443" i="17"/>
  <c r="M391" i="17"/>
  <c r="M351" i="17"/>
  <c r="M149" i="17"/>
  <c r="M131" i="17"/>
  <c r="M47" i="17"/>
  <c r="M103" i="17"/>
  <c r="M191" i="17"/>
  <c r="M26" i="17"/>
  <c r="M50" i="17"/>
  <c r="M78" i="17"/>
  <c r="M21" i="17"/>
  <c r="M105" i="17"/>
  <c r="M373" i="17"/>
  <c r="M457" i="17"/>
  <c r="M513" i="17"/>
  <c r="M542" i="17"/>
  <c r="M239" i="17"/>
  <c r="M134" i="17"/>
  <c r="M214" i="17"/>
  <c r="M302" i="17"/>
  <c r="M368" i="17"/>
  <c r="M456" i="17"/>
  <c r="M603" i="17"/>
  <c r="M265" i="17"/>
  <c r="M148" i="17"/>
  <c r="M304" i="17"/>
  <c r="M378" i="17"/>
  <c r="M301" i="17"/>
  <c r="M557" i="17"/>
  <c r="M552" i="17"/>
  <c r="M492" i="17"/>
  <c r="M316" i="17"/>
  <c r="M242" i="17"/>
  <c r="M271" i="17"/>
  <c r="M461" i="17"/>
  <c r="M586" i="17"/>
  <c r="M171" i="17"/>
  <c r="M101" i="17"/>
  <c r="M104" i="17"/>
  <c r="M587" i="17"/>
  <c r="M395" i="17"/>
  <c r="M51" i="17"/>
  <c r="M57" i="17"/>
  <c r="M28" i="17"/>
  <c r="M315" i="17"/>
  <c r="M628" i="17"/>
  <c r="F627" i="17"/>
  <c r="E627" i="17"/>
  <c r="N627" i="17"/>
  <c r="M627" i="17"/>
  <c r="J627" i="17"/>
  <c r="D627" i="17"/>
  <c r="L627" i="17"/>
  <c r="K627" i="17"/>
  <c r="I627" i="17"/>
  <c r="T627" i="17"/>
  <c r="S627" i="17"/>
  <c r="C627" i="17"/>
  <c r="G627" i="17"/>
  <c r="H624" i="17"/>
  <c r="G624" i="17"/>
  <c r="H625" i="17"/>
  <c r="G625" i="17"/>
  <c r="W91" i="27" l="1"/>
  <c r="V131" i="17"/>
  <c r="V389" i="17"/>
  <c r="W389" i="17" s="1"/>
  <c r="V567" i="17"/>
  <c r="W567" i="17" s="1"/>
  <c r="W34" i="27"/>
  <c r="W89" i="27"/>
  <c r="V584" i="17"/>
  <c r="W584" i="17" s="1"/>
  <c r="V609" i="17"/>
  <c r="W609" i="17" s="1"/>
  <c r="V290" i="17"/>
  <c r="W290" i="17" s="1"/>
  <c r="V549" i="17"/>
  <c r="W549" i="17" s="1"/>
  <c r="V341" i="17"/>
  <c r="W341" i="17" s="1"/>
  <c r="AC301" i="17"/>
  <c r="X41" i="27"/>
  <c r="X20" i="27"/>
  <c r="V43" i="17"/>
  <c r="W43" i="17" s="1"/>
  <c r="W44" i="27"/>
  <c r="V84" i="17"/>
  <c r="W84" i="17" s="1"/>
  <c r="V599" i="17"/>
  <c r="W599" i="17" s="1"/>
  <c r="V220" i="17"/>
  <c r="W220" i="17" s="1"/>
  <c r="V324" i="17"/>
  <c r="W324" i="17" s="1"/>
  <c r="V464" i="17"/>
  <c r="W464" i="17" s="1"/>
  <c r="V605" i="17"/>
  <c r="W605" i="17" s="1"/>
  <c r="V589" i="17"/>
  <c r="W589" i="17" s="1"/>
  <c r="V403" i="17"/>
  <c r="W403" i="17" s="1"/>
  <c r="V32" i="17"/>
  <c r="W32" i="17" s="1"/>
  <c r="Q625" i="17"/>
  <c r="V516" i="17"/>
  <c r="W516" i="17" s="1"/>
  <c r="V427" i="17"/>
  <c r="W427" i="17" s="1"/>
  <c r="V85" i="17"/>
  <c r="W85" i="17" s="1"/>
  <c r="V594" i="17"/>
  <c r="W594" i="17" s="1"/>
  <c r="V338" i="17"/>
  <c r="W338" i="17" s="1"/>
  <c r="V213" i="17"/>
  <c r="W213" i="17" s="1"/>
  <c r="V88" i="17"/>
  <c r="W88" i="17" s="1"/>
  <c r="V372" i="17"/>
  <c r="W372" i="17" s="1"/>
  <c r="V162" i="17"/>
  <c r="W162" i="17" s="1"/>
  <c r="V546" i="17"/>
  <c r="W546" i="17" s="1"/>
  <c r="V485" i="17"/>
  <c r="W485" i="17" s="1"/>
  <c r="V40" i="17"/>
  <c r="W40" i="17" s="1"/>
  <c r="X18" i="27"/>
  <c r="X90" i="27"/>
  <c r="W40" i="27"/>
  <c r="X23" i="27"/>
  <c r="X31" i="27"/>
  <c r="W43" i="27"/>
  <c r="X85" i="27"/>
  <c r="W48" i="27"/>
  <c r="X47" i="27"/>
  <c r="W84" i="27"/>
  <c r="X36" i="27"/>
  <c r="X46" i="27"/>
  <c r="X94" i="27"/>
  <c r="V556" i="17"/>
  <c r="W556" i="17" s="1"/>
  <c r="V559" i="17"/>
  <c r="W559" i="17" s="1"/>
  <c r="AC255" i="17"/>
  <c r="V266" i="17"/>
  <c r="W266" i="17" s="1"/>
  <c r="V57" i="17"/>
  <c r="W57" i="17" s="1"/>
  <c r="X21" i="27"/>
  <c r="V565" i="17"/>
  <c r="W565" i="17" s="1"/>
  <c r="V114" i="17"/>
  <c r="W114" i="17" s="1"/>
  <c r="V63" i="17"/>
  <c r="W63" i="17" s="1"/>
  <c r="X95" i="27"/>
  <c r="X35" i="27"/>
  <c r="V420" i="17"/>
  <c r="W420" i="17" s="1"/>
  <c r="V561" i="17"/>
  <c r="W561" i="17" s="1"/>
  <c r="V294" i="17"/>
  <c r="W294" i="17" s="1"/>
  <c r="V469" i="17"/>
  <c r="W469" i="17" s="1"/>
  <c r="AC325" i="17"/>
  <c r="V50" i="17"/>
  <c r="W50" i="17" s="1"/>
  <c r="V484" i="17"/>
  <c r="W484" i="17" s="1"/>
  <c r="V560" i="17"/>
  <c r="W560" i="17" s="1"/>
  <c r="V574" i="17"/>
  <c r="W574" i="17" s="1"/>
  <c r="V250" i="17"/>
  <c r="W250" i="17" s="1"/>
  <c r="V571" i="17"/>
  <c r="W571" i="17" s="1"/>
  <c r="X24" i="27"/>
  <c r="W16" i="27"/>
  <c r="W25" i="27"/>
  <c r="X26" i="27"/>
  <c r="X32" i="27"/>
  <c r="U578" i="17"/>
  <c r="Y578" i="17" s="1"/>
  <c r="V463" i="17"/>
  <c r="W463" i="17" s="1"/>
  <c r="W80" i="27"/>
  <c r="X81" i="27"/>
  <c r="W37" i="27"/>
  <c r="W49" i="27"/>
  <c r="X19" i="27"/>
  <c r="W83" i="27"/>
  <c r="X86" i="27"/>
  <c r="AA37" i="27"/>
  <c r="AB37" i="27"/>
  <c r="AA25" i="27"/>
  <c r="AB25" i="27"/>
  <c r="AB24" i="27"/>
  <c r="AA24" i="27"/>
  <c r="AB26" i="27"/>
  <c r="AA26" i="27"/>
  <c r="AB32" i="27"/>
  <c r="AA32" i="27"/>
  <c r="AB16" i="27"/>
  <c r="AA16" i="27"/>
  <c r="AB19" i="27"/>
  <c r="AA19" i="27"/>
  <c r="AB86" i="27"/>
  <c r="AA86" i="27"/>
  <c r="AA81" i="27"/>
  <c r="AB81" i="27"/>
  <c r="AB84" i="27"/>
  <c r="AA84" i="27"/>
  <c r="AB80" i="27"/>
  <c r="AA80" i="27"/>
  <c r="AB44" i="27"/>
  <c r="AA44" i="27"/>
  <c r="AA49" i="27"/>
  <c r="AB49" i="27"/>
  <c r="AA41" i="27"/>
  <c r="AB41" i="27"/>
  <c r="AB91" i="27"/>
  <c r="AA91" i="27"/>
  <c r="AB20" i="27"/>
  <c r="AA20" i="27"/>
  <c r="AB83" i="27"/>
  <c r="AA83" i="27"/>
  <c r="AA61" i="27"/>
  <c r="AB61" i="27"/>
  <c r="AA17" i="27"/>
  <c r="AB17" i="27"/>
  <c r="AA57" i="27"/>
  <c r="AB57" i="27"/>
  <c r="AB51" i="27"/>
  <c r="AA51" i="27"/>
  <c r="AA65" i="27"/>
  <c r="AB65" i="27"/>
  <c r="AB68" i="27"/>
  <c r="AA68" i="27"/>
  <c r="AB95" i="27"/>
  <c r="AA95" i="27"/>
  <c r="AB35" i="27"/>
  <c r="AA35" i="27"/>
  <c r="AB46" i="27"/>
  <c r="AA46" i="27"/>
  <c r="AB31" i="27"/>
  <c r="AA31" i="27"/>
  <c r="AB90" i="27"/>
  <c r="AA90" i="27"/>
  <c r="AB36" i="27"/>
  <c r="AA36" i="27"/>
  <c r="AB94" i="27"/>
  <c r="AA94" i="27"/>
  <c r="AA85" i="27"/>
  <c r="AB85" i="27"/>
  <c r="AA21" i="27"/>
  <c r="AB21" i="27"/>
  <c r="AB23" i="27"/>
  <c r="AA23" i="27"/>
  <c r="AB40" i="27"/>
  <c r="AA40" i="27"/>
  <c r="AB34" i="27"/>
  <c r="AA34" i="27"/>
  <c r="AB43" i="27"/>
  <c r="AA43" i="27"/>
  <c r="AB47" i="27"/>
  <c r="AA47" i="27"/>
  <c r="AB48" i="27"/>
  <c r="AA48" i="27"/>
  <c r="AA89" i="27"/>
  <c r="AB89" i="27"/>
  <c r="AB18" i="27"/>
  <c r="AA18" i="27"/>
  <c r="V96" i="27"/>
  <c r="W96" i="27" s="1"/>
  <c r="Z96" i="27"/>
  <c r="V79" i="27"/>
  <c r="X79" i="27" s="1"/>
  <c r="Z79" i="27"/>
  <c r="V55" i="27"/>
  <c r="X55" i="27" s="1"/>
  <c r="Z55" i="27"/>
  <c r="V72" i="27"/>
  <c r="X72" i="27" s="1"/>
  <c r="Z72" i="27"/>
  <c r="V29" i="27"/>
  <c r="W29" i="27" s="1"/>
  <c r="Z29" i="27"/>
  <c r="V64" i="27"/>
  <c r="W64" i="27" s="1"/>
  <c r="Z64" i="27"/>
  <c r="V60" i="27"/>
  <c r="X60" i="27" s="1"/>
  <c r="Z60" i="27"/>
  <c r="V28" i="27"/>
  <c r="X28" i="27" s="1"/>
  <c r="Z28" i="27"/>
  <c r="V66" i="27"/>
  <c r="X66" i="27" s="1"/>
  <c r="Z66" i="27"/>
  <c r="V30" i="27"/>
  <c r="X30" i="27" s="1"/>
  <c r="Z30" i="27"/>
  <c r="V92" i="27"/>
  <c r="W92" i="27" s="1"/>
  <c r="Z92" i="27"/>
  <c r="V69" i="27"/>
  <c r="W69" i="27" s="1"/>
  <c r="Z69" i="27"/>
  <c r="V76" i="27"/>
  <c r="W76" i="27" s="1"/>
  <c r="Z76" i="27"/>
  <c r="V78" i="27"/>
  <c r="W78" i="27" s="1"/>
  <c r="Z78" i="27"/>
  <c r="V88" i="27"/>
  <c r="X88" i="27" s="1"/>
  <c r="Z88" i="27"/>
  <c r="V45" i="27"/>
  <c r="W45" i="27" s="1"/>
  <c r="Z45" i="27"/>
  <c r="V93" i="27"/>
  <c r="X93" i="27" s="1"/>
  <c r="Z93" i="27"/>
  <c r="V59" i="27"/>
  <c r="W59" i="27" s="1"/>
  <c r="Z59" i="27"/>
  <c r="V39" i="27"/>
  <c r="X39" i="27" s="1"/>
  <c r="Z39" i="27"/>
  <c r="V27" i="27"/>
  <c r="X27" i="27" s="1"/>
  <c r="Z27" i="27"/>
  <c r="V70" i="27"/>
  <c r="X70" i="27" s="1"/>
  <c r="Z70" i="27"/>
  <c r="V53" i="27"/>
  <c r="W53" i="27" s="1"/>
  <c r="Z53" i="27"/>
  <c r="V75" i="27"/>
  <c r="W75" i="27" s="1"/>
  <c r="Z75" i="27"/>
  <c r="V77" i="27"/>
  <c r="X77" i="27" s="1"/>
  <c r="Z77" i="27"/>
  <c r="V52" i="27"/>
  <c r="W52" i="27" s="1"/>
  <c r="Z52" i="27"/>
  <c r="V56" i="27"/>
  <c r="W56" i="27" s="1"/>
  <c r="Z56" i="27"/>
  <c r="V71" i="27"/>
  <c r="W71" i="27" s="1"/>
  <c r="Z71" i="27"/>
  <c r="V63" i="27"/>
  <c r="W63" i="27" s="1"/>
  <c r="Z63" i="27"/>
  <c r="V33" i="27"/>
  <c r="W33" i="27" s="1"/>
  <c r="Z33" i="27"/>
  <c r="V58" i="27"/>
  <c r="X58" i="27" s="1"/>
  <c r="Z58" i="27"/>
  <c r="V14" i="27"/>
  <c r="X14" i="27" s="1"/>
  <c r="Z14" i="27"/>
  <c r="V15" i="27"/>
  <c r="X15" i="27" s="1"/>
  <c r="Z15" i="27"/>
  <c r="V42" i="27"/>
  <c r="W42" i="27" s="1"/>
  <c r="Z42" i="27"/>
  <c r="V97" i="27"/>
  <c r="X97" i="27" s="1"/>
  <c r="Z97" i="27"/>
  <c r="V50" i="27"/>
  <c r="W50" i="27" s="1"/>
  <c r="Z50" i="27"/>
  <c r="V74" i="27"/>
  <c r="W74" i="27" s="1"/>
  <c r="Z74" i="27"/>
  <c r="V73" i="27"/>
  <c r="X73" i="27" s="1"/>
  <c r="Z73" i="27"/>
  <c r="V54" i="27"/>
  <c r="W54" i="27" s="1"/>
  <c r="Z54" i="27"/>
  <c r="V82" i="27"/>
  <c r="X82" i="27" s="1"/>
  <c r="Z82" i="27"/>
  <c r="V38" i="27"/>
  <c r="W38" i="27" s="1"/>
  <c r="Z38" i="27"/>
  <c r="V62" i="27"/>
  <c r="X62" i="27" s="1"/>
  <c r="Z62" i="27"/>
  <c r="V67" i="27"/>
  <c r="X67" i="27" s="1"/>
  <c r="Z67" i="27"/>
  <c r="V87" i="27"/>
  <c r="W87" i="27" s="1"/>
  <c r="Z87" i="27"/>
  <c r="V22" i="27"/>
  <c r="X22" i="27" s="1"/>
  <c r="Z22" i="27"/>
  <c r="X13" i="27"/>
  <c r="AE13" i="27" s="1"/>
  <c r="Z13" i="27"/>
  <c r="V376" i="17"/>
  <c r="W376" i="17" s="1"/>
  <c r="V363" i="17"/>
  <c r="W363" i="17" s="1"/>
  <c r="V246" i="17"/>
  <c r="W246" i="17" s="1"/>
  <c r="V425" i="17"/>
  <c r="W425" i="17" s="1"/>
  <c r="V297" i="17"/>
  <c r="W297" i="17" s="1"/>
  <c r="V117" i="17"/>
  <c r="W117" i="17" s="1"/>
  <c r="V53" i="17"/>
  <c r="W53" i="17" s="1"/>
  <c r="V444" i="17"/>
  <c r="W444" i="17" s="1"/>
  <c r="V119" i="17"/>
  <c r="W119" i="17" s="1"/>
  <c r="V322" i="17"/>
  <c r="W322" i="17" s="1"/>
  <c r="V97" i="17"/>
  <c r="W97" i="17" s="1"/>
  <c r="AC136" i="17"/>
  <c r="V374" i="17"/>
  <c r="W374" i="17" s="1"/>
  <c r="U101" i="17"/>
  <c r="Y101" i="17" s="1"/>
  <c r="AB211" i="17"/>
  <c r="U305" i="17"/>
  <c r="Y305" i="17" s="1"/>
  <c r="U317" i="17"/>
  <c r="Y317" i="17" s="1"/>
  <c r="U137" i="17"/>
  <c r="Y137" i="17" s="1"/>
  <c r="AB525" i="17"/>
  <c r="V415" i="17"/>
  <c r="W415" i="17" s="1"/>
  <c r="AC602" i="17"/>
  <c r="V490" i="17"/>
  <c r="W490" i="17" s="1"/>
  <c r="V137" i="17"/>
  <c r="W137" i="17" s="1"/>
  <c r="V121" i="17"/>
  <c r="W121" i="17" s="1"/>
  <c r="V23" i="17"/>
  <c r="W23" i="17" s="1"/>
  <c r="U439" i="17"/>
  <c r="Y439" i="17" s="1"/>
  <c r="U546" i="17"/>
  <c r="Y546" i="17" s="1"/>
  <c r="U150" i="17"/>
  <c r="Y150" i="17" s="1"/>
  <c r="U590" i="17"/>
  <c r="Y590" i="17" s="1"/>
  <c r="U376" i="17"/>
  <c r="Y376" i="17" s="1"/>
  <c r="U504" i="17"/>
  <c r="Y504" i="17" s="1"/>
  <c r="U123" i="17"/>
  <c r="Y123" i="17" s="1"/>
  <c r="U308" i="17"/>
  <c r="Y308" i="17" s="1"/>
  <c r="V440" i="17"/>
  <c r="W440" i="17" s="1"/>
  <c r="V452" i="17"/>
  <c r="W452" i="17" s="1"/>
  <c r="V46" i="17"/>
  <c r="W46" i="17" s="1"/>
  <c r="V555" i="17"/>
  <c r="W555" i="17" s="1"/>
  <c r="V588" i="17"/>
  <c r="W588" i="17" s="1"/>
  <c r="V280" i="17"/>
  <c r="W280" i="17" s="1"/>
  <c r="V304" i="17"/>
  <c r="W304" i="17" s="1"/>
  <c r="V483" i="17"/>
  <c r="W483" i="17" s="1"/>
  <c r="V387" i="17"/>
  <c r="W387" i="17" s="1"/>
  <c r="V227" i="17"/>
  <c r="W227" i="17" s="1"/>
  <c r="V106" i="17"/>
  <c r="W106" i="17" s="1"/>
  <c r="V446" i="17"/>
  <c r="W446" i="17" s="1"/>
  <c r="V254" i="17"/>
  <c r="W254" i="17" s="1"/>
  <c r="V513" i="17"/>
  <c r="W513" i="17" s="1"/>
  <c r="V385" i="17"/>
  <c r="W385" i="17" s="1"/>
  <c r="V20" i="17"/>
  <c r="W20" i="17" s="1"/>
  <c r="U103" i="17"/>
  <c r="Y103" i="17" s="1"/>
  <c r="AB534" i="17"/>
  <c r="U229" i="17"/>
  <c r="Y229" i="17" s="1"/>
  <c r="U496" i="17"/>
  <c r="Y496" i="17" s="1"/>
  <c r="AB119" i="17"/>
  <c r="AB550" i="17"/>
  <c r="U167" i="17"/>
  <c r="Y167" i="17" s="1"/>
  <c r="AB538" i="17"/>
  <c r="U455" i="17"/>
  <c r="Y455" i="17" s="1"/>
  <c r="AB372" i="17"/>
  <c r="U381" i="17"/>
  <c r="Y381" i="17" s="1"/>
  <c r="AC328" i="17"/>
  <c r="V585" i="17"/>
  <c r="W585" i="17" s="1"/>
  <c r="AC477" i="17"/>
  <c r="V221" i="17"/>
  <c r="W221" i="17" s="1"/>
  <c r="V422" i="17"/>
  <c r="W422" i="17" s="1"/>
  <c r="V361" i="17"/>
  <c r="W361" i="17" s="1"/>
  <c r="V101" i="17"/>
  <c r="W101" i="17" s="1"/>
  <c r="V83" i="17"/>
  <c r="W83" i="17" s="1"/>
  <c r="V19" i="17"/>
  <c r="W19" i="17" s="1"/>
  <c r="V383" i="17"/>
  <c r="W383" i="17" s="1"/>
  <c r="V367" i="17"/>
  <c r="W367" i="17" s="1"/>
  <c r="AC426" i="17"/>
  <c r="V429" i="17"/>
  <c r="W429" i="17" s="1"/>
  <c r="U311" i="17"/>
  <c r="Y311" i="17" s="1"/>
  <c r="V360" i="17"/>
  <c r="W360" i="17" s="1"/>
  <c r="V519" i="17"/>
  <c r="W519" i="17" s="1"/>
  <c r="V307" i="17"/>
  <c r="W307" i="17" s="1"/>
  <c r="V542" i="17"/>
  <c r="W542" i="17" s="1"/>
  <c r="V238" i="17"/>
  <c r="W238" i="17" s="1"/>
  <c r="V305" i="17"/>
  <c r="W305" i="17" s="1"/>
  <c r="V225" i="17"/>
  <c r="W225" i="17" s="1"/>
  <c r="V61" i="17"/>
  <c r="W61" i="17" s="1"/>
  <c r="V75" i="17"/>
  <c r="W75" i="17" s="1"/>
  <c r="AC321" i="17"/>
  <c r="U148" i="17"/>
  <c r="Y148" i="17" s="1"/>
  <c r="U279" i="17"/>
  <c r="Y279" i="17" s="1"/>
  <c r="U46" i="17"/>
  <c r="Y46" i="17" s="1"/>
  <c r="AB31" i="17"/>
  <c r="U309" i="17"/>
  <c r="Y309" i="17" s="1"/>
  <c r="U245" i="17"/>
  <c r="Y245" i="17" s="1"/>
  <c r="U384" i="17"/>
  <c r="Y384" i="17" s="1"/>
  <c r="U431" i="17"/>
  <c r="Y431" i="17" s="1"/>
  <c r="U510" i="17"/>
  <c r="Y510" i="17" s="1"/>
  <c r="U382" i="17"/>
  <c r="Y382" i="17" s="1"/>
  <c r="U498" i="17"/>
  <c r="Y498" i="17" s="1"/>
  <c r="U106" i="17"/>
  <c r="Y106" i="17" s="1"/>
  <c r="U397" i="17"/>
  <c r="Y397" i="17" s="1"/>
  <c r="U598" i="17"/>
  <c r="Y598" i="17" s="1"/>
  <c r="U253" i="17"/>
  <c r="Y253" i="17" s="1"/>
  <c r="U143" i="17"/>
  <c r="Y143" i="17" s="1"/>
  <c r="U473" i="17"/>
  <c r="Y473" i="17" s="1"/>
  <c r="U189" i="17"/>
  <c r="Y189" i="17" s="1"/>
  <c r="U43" i="17"/>
  <c r="Y43" i="17" s="1"/>
  <c r="U64" i="17"/>
  <c r="Y64" i="17" s="1"/>
  <c r="U199" i="17"/>
  <c r="Y199" i="17" s="1"/>
  <c r="U232" i="17"/>
  <c r="Y232" i="17" s="1"/>
  <c r="I625" i="17"/>
  <c r="L625" i="17"/>
  <c r="F625" i="17"/>
  <c r="M625" i="17"/>
  <c r="U185" i="17"/>
  <c r="Y185" i="17" s="1"/>
  <c r="U479" i="17"/>
  <c r="Y479" i="17" s="1"/>
  <c r="V344" i="17"/>
  <c r="W344" i="17" s="1"/>
  <c r="V175" i="17"/>
  <c r="W175" i="17" s="1"/>
  <c r="V449" i="17"/>
  <c r="W449" i="17" s="1"/>
  <c r="V321" i="17"/>
  <c r="W321" i="17" s="1"/>
  <c r="V139" i="17"/>
  <c r="W139" i="17" s="1"/>
  <c r="V91" i="17"/>
  <c r="W91" i="17" s="1"/>
  <c r="J625" i="17"/>
  <c r="AC394" i="17"/>
  <c r="V202" i="17"/>
  <c r="W202" i="17" s="1"/>
  <c r="V461" i="17"/>
  <c r="W461" i="17" s="1"/>
  <c r="R625" i="17"/>
  <c r="AB484" i="17"/>
  <c r="U83" i="17"/>
  <c r="Y83" i="17" s="1"/>
  <c r="AC572" i="17"/>
  <c r="V62" i="17"/>
  <c r="W62" i="17" s="1"/>
  <c r="V351" i="17"/>
  <c r="W351" i="17" s="1"/>
  <c r="S625" i="17"/>
  <c r="U26" i="17"/>
  <c r="Y26" i="17" s="1"/>
  <c r="AB25" i="17"/>
  <c r="AB405" i="17"/>
  <c r="AB44" i="17"/>
  <c r="U324" i="17"/>
  <c r="Y324" i="17" s="1"/>
  <c r="U37" i="17"/>
  <c r="Y37" i="17" s="1"/>
  <c r="AB65" i="17"/>
  <c r="U111" i="17"/>
  <c r="Y111" i="17" s="1"/>
  <c r="V508" i="17"/>
  <c r="W508" i="17" s="1"/>
  <c r="V504" i="17"/>
  <c r="W504" i="17" s="1"/>
  <c r="V248" i="17"/>
  <c r="W248" i="17" s="1"/>
  <c r="V491" i="17"/>
  <c r="W491" i="17" s="1"/>
  <c r="V299" i="17"/>
  <c r="W299" i="17" s="1"/>
  <c r="V550" i="17"/>
  <c r="W550" i="17" s="1"/>
  <c r="V278" i="17"/>
  <c r="W278" i="17" s="1"/>
  <c r="V489" i="17"/>
  <c r="W489" i="17" s="1"/>
  <c r="V217" i="17"/>
  <c r="W217" i="17" s="1"/>
  <c r="V156" i="17"/>
  <c r="W156" i="17" s="1"/>
  <c r="O625" i="17"/>
  <c r="E625" i="17"/>
  <c r="D625" i="17"/>
  <c r="U395" i="17"/>
  <c r="Y395" i="17" s="1"/>
  <c r="AB347" i="17"/>
  <c r="U409" i="17"/>
  <c r="Y409" i="17" s="1"/>
  <c r="U388" i="17"/>
  <c r="Y388" i="17" s="1"/>
  <c r="U22" i="17"/>
  <c r="Y22" i="17" s="1"/>
  <c r="K625" i="17"/>
  <c r="N625" i="17"/>
  <c r="T625" i="17"/>
  <c r="C625" i="17"/>
  <c r="U191" i="17"/>
  <c r="Y191" i="17" s="1"/>
  <c r="U413" i="17"/>
  <c r="Y413" i="17" s="1"/>
  <c r="U367" i="17"/>
  <c r="Y367" i="17" s="1"/>
  <c r="U122" i="17"/>
  <c r="Y122" i="17" s="1"/>
  <c r="U280" i="17"/>
  <c r="U539" i="17"/>
  <c r="Y539" i="17" s="1"/>
  <c r="AB23" i="17"/>
  <c r="U54" i="17"/>
  <c r="Y54" i="17" s="1"/>
  <c r="U29" i="17"/>
  <c r="Y29" i="17" s="1"/>
  <c r="U84" i="17"/>
  <c r="Y84" i="17" s="1"/>
  <c r="U218" i="17"/>
  <c r="Y218" i="17" s="1"/>
  <c r="U468" i="17"/>
  <c r="Y468" i="17" s="1"/>
  <c r="V188" i="17"/>
  <c r="W188" i="17" s="1"/>
  <c r="V130" i="17"/>
  <c r="W130" i="17" s="1"/>
  <c r="V154" i="17"/>
  <c r="W154" i="17" s="1"/>
  <c r="V601" i="17"/>
  <c r="W601" i="17" s="1"/>
  <c r="V564" i="17"/>
  <c r="W564" i="17" s="1"/>
  <c r="V308" i="17"/>
  <c r="W308" i="17" s="1"/>
  <c r="V512" i="17"/>
  <c r="W512" i="17" s="1"/>
  <c r="V256" i="17"/>
  <c r="W256" i="17" s="1"/>
  <c r="V30" i="17"/>
  <c r="W30" i="17" s="1"/>
  <c r="V503" i="17"/>
  <c r="W503" i="17" s="1"/>
  <c r="V471" i="17"/>
  <c r="W471" i="17" s="1"/>
  <c r="V423" i="17"/>
  <c r="W423" i="17" s="1"/>
  <c r="V407" i="17"/>
  <c r="W407" i="17" s="1"/>
  <c r="V375" i="17"/>
  <c r="W375" i="17" s="1"/>
  <c r="V279" i="17"/>
  <c r="W279" i="17" s="1"/>
  <c r="V263" i="17"/>
  <c r="W263" i="17" s="1"/>
  <c r="V247" i="17"/>
  <c r="W247" i="17" s="1"/>
  <c r="V151" i="17"/>
  <c r="W151" i="17" s="1"/>
  <c r="AC58" i="17"/>
  <c r="V466" i="17"/>
  <c r="W466" i="17" s="1"/>
  <c r="V306" i="17"/>
  <c r="W306" i="17" s="1"/>
  <c r="V274" i="17"/>
  <c r="W274" i="17" s="1"/>
  <c r="AC174" i="17"/>
  <c r="V142" i="17"/>
  <c r="W142" i="17" s="1"/>
  <c r="V517" i="17"/>
  <c r="W517" i="17" s="1"/>
  <c r="V501" i="17"/>
  <c r="W501" i="17" s="1"/>
  <c r="V373" i="17"/>
  <c r="W373" i="17" s="1"/>
  <c r="V147" i="17"/>
  <c r="W147" i="17" s="1"/>
  <c r="V129" i="17"/>
  <c r="W129" i="17" s="1"/>
  <c r="V81" i="17"/>
  <c r="W81" i="17" s="1"/>
  <c r="U565" i="17"/>
  <c r="Y565" i="17" s="1"/>
  <c r="U532" i="17"/>
  <c r="Y532" i="17" s="1"/>
  <c r="AB76" i="17"/>
  <c r="V312" i="17"/>
  <c r="W312" i="17" s="1"/>
  <c r="V102" i="17"/>
  <c r="W102" i="17" s="1"/>
  <c r="V487" i="17"/>
  <c r="W487" i="17" s="1"/>
  <c r="U547" i="17"/>
  <c r="Y547" i="17" s="1"/>
  <c r="U82" i="17"/>
  <c r="Y82" i="17" s="1"/>
  <c r="U349" i="17"/>
  <c r="Y349" i="17" s="1"/>
  <c r="U135" i="17"/>
  <c r="Y135" i="17" s="1"/>
  <c r="AB222" i="17"/>
  <c r="V228" i="17"/>
  <c r="W228" i="17" s="1"/>
  <c r="V350" i="17"/>
  <c r="W350" i="17" s="1"/>
  <c r="V109" i="17"/>
  <c r="W109" i="17" s="1"/>
  <c r="AB88" i="17"/>
  <c r="AC480" i="17"/>
  <c r="AC253" i="17"/>
  <c r="V189" i="17"/>
  <c r="W189" i="17" s="1"/>
  <c r="V73" i="17"/>
  <c r="W73" i="17" s="1"/>
  <c r="U404" i="17"/>
  <c r="Y404" i="17" s="1"/>
  <c r="AB365" i="17"/>
  <c r="U95" i="17"/>
  <c r="Y95" i="17" s="1"/>
  <c r="U574" i="17"/>
  <c r="Y574" i="17" s="1"/>
  <c r="U331" i="17"/>
  <c r="Y331" i="17" s="1"/>
  <c r="U201" i="17"/>
  <c r="Y201" i="17" s="1"/>
  <c r="U585" i="17"/>
  <c r="Y585" i="17" s="1"/>
  <c r="U571" i="17"/>
  <c r="Y571" i="17" s="1"/>
  <c r="U607" i="17"/>
  <c r="Y607" i="17" s="1"/>
  <c r="V289" i="17"/>
  <c r="W289" i="17" s="1"/>
  <c r="U516" i="17"/>
  <c r="Y516" i="17" s="1"/>
  <c r="V562" i="17"/>
  <c r="W562" i="17" s="1"/>
  <c r="V408" i="17"/>
  <c r="W408" i="17" s="1"/>
  <c r="V216" i="17"/>
  <c r="W216" i="17" s="1"/>
  <c r="U353" i="17"/>
  <c r="Y353" i="17" s="1"/>
  <c r="U626" i="17"/>
  <c r="D636" i="17" s="1"/>
  <c r="V623" i="17"/>
  <c r="W623" i="17" s="1"/>
  <c r="V626" i="17"/>
  <c r="W626" i="17" s="1"/>
  <c r="V184" i="17"/>
  <c r="W184" i="17" s="1"/>
  <c r="U603" i="17"/>
  <c r="Y603" i="17" s="1"/>
  <c r="U250" i="17"/>
  <c r="Y250" i="17" s="1"/>
  <c r="U570" i="17"/>
  <c r="Y570" i="17" s="1"/>
  <c r="U522" i="17"/>
  <c r="Y522" i="17" s="1"/>
  <c r="U15" i="17"/>
  <c r="Y15" i="17" s="1"/>
  <c r="U436" i="17"/>
  <c r="Y436" i="17" s="1"/>
  <c r="U519" i="17"/>
  <c r="Y519" i="17" s="1"/>
  <c r="U553" i="17"/>
  <c r="Y553" i="17" s="1"/>
  <c r="U366" i="17"/>
  <c r="Y366" i="17" s="1"/>
  <c r="V439" i="17"/>
  <c r="W439" i="17" s="1"/>
  <c r="V327" i="17"/>
  <c r="W327" i="17" s="1"/>
  <c r="V231" i="17"/>
  <c r="W231" i="17" s="1"/>
  <c r="V242" i="17"/>
  <c r="W242" i="17" s="1"/>
  <c r="U104" i="17"/>
  <c r="Y104" i="17" s="1"/>
  <c r="U268" i="17"/>
  <c r="Y268" i="17" s="1"/>
  <c r="AB19" i="17"/>
  <c r="U223" i="17"/>
  <c r="Y223" i="17" s="1"/>
  <c r="U581" i="17"/>
  <c r="Y581" i="17" s="1"/>
  <c r="U27" i="17"/>
  <c r="Y27" i="17" s="1"/>
  <c r="U558" i="17"/>
  <c r="Y558" i="17" s="1"/>
  <c r="U393" i="17"/>
  <c r="Y393" i="17" s="1"/>
  <c r="AB52" i="17"/>
  <c r="U363" i="17"/>
  <c r="Y363" i="17" s="1"/>
  <c r="U555" i="17"/>
  <c r="Y555" i="17" s="1"/>
  <c r="V204" i="17"/>
  <c r="W204" i="17" s="1"/>
  <c r="V232" i="17"/>
  <c r="W232" i="17" s="1"/>
  <c r="U51" i="17"/>
  <c r="Y51" i="17" s="1"/>
  <c r="V414" i="17"/>
  <c r="W414" i="17" s="1"/>
  <c r="V34" i="17"/>
  <c r="W34" i="17" s="1"/>
  <c r="U628" i="17"/>
  <c r="F624" i="17"/>
  <c r="Q624" i="17"/>
  <c r="P624" i="17"/>
  <c r="O624" i="17"/>
  <c r="R624" i="17"/>
  <c r="U623" i="17"/>
  <c r="D633" i="17" s="1"/>
  <c r="V628" i="17"/>
  <c r="W628" i="17" s="1"/>
  <c r="U622" i="17"/>
  <c r="D632" i="17" s="1"/>
  <c r="V622" i="17"/>
  <c r="W622" i="17" s="1"/>
  <c r="U627" i="17"/>
  <c r="V627" i="17"/>
  <c r="W627" i="17" s="1"/>
  <c r="U265" i="17"/>
  <c r="Y265" i="17" s="1"/>
  <c r="AB542" i="17"/>
  <c r="U105" i="17"/>
  <c r="Y105" i="17" s="1"/>
  <c r="U453" i="17"/>
  <c r="Y453" i="17" s="1"/>
  <c r="U568" i="17"/>
  <c r="Y568" i="17" s="1"/>
  <c r="U204" i="17"/>
  <c r="Y204" i="17" s="1"/>
  <c r="U146" i="17"/>
  <c r="Y146" i="17" s="1"/>
  <c r="AB139" i="17"/>
  <c r="U49" i="17"/>
  <c r="Y49" i="17" s="1"/>
  <c r="AB129" i="17"/>
  <c r="U595" i="17"/>
  <c r="Y595" i="17" s="1"/>
  <c r="U589" i="17"/>
  <c r="Y589" i="17" s="1"/>
  <c r="U412" i="17"/>
  <c r="Y412" i="17" s="1"/>
  <c r="U130" i="17"/>
  <c r="U60" i="17"/>
  <c r="Y60" i="17" s="1"/>
  <c r="U20" i="17"/>
  <c r="Y20" i="17" s="1"/>
  <c r="U437" i="17"/>
  <c r="Y437" i="17" s="1"/>
  <c r="U300" i="17"/>
  <c r="Y300" i="17" s="1"/>
  <c r="U45" i="17"/>
  <c r="Y45" i="17" s="1"/>
  <c r="V268" i="17"/>
  <c r="W268" i="17" s="1"/>
  <c r="V604" i="17"/>
  <c r="W604" i="17" s="1"/>
  <c r="V260" i="17"/>
  <c r="W260" i="17" s="1"/>
  <c r="V94" i="17"/>
  <c r="W94" i="17" s="1"/>
  <c r="V539" i="17"/>
  <c r="W539" i="17" s="1"/>
  <c r="V475" i="17"/>
  <c r="W475" i="17" s="1"/>
  <c r="V411" i="17"/>
  <c r="W411" i="17" s="1"/>
  <c r="V347" i="17"/>
  <c r="W347" i="17" s="1"/>
  <c r="V283" i="17"/>
  <c r="W283" i="17" s="1"/>
  <c r="V219" i="17"/>
  <c r="W219" i="17" s="1"/>
  <c r="V127" i="17"/>
  <c r="W127" i="17" s="1"/>
  <c r="V14" i="17"/>
  <c r="W14" i="17" s="1"/>
  <c r="V502" i="17"/>
  <c r="W502" i="17" s="1"/>
  <c r="V454" i="17"/>
  <c r="W454" i="17" s="1"/>
  <c r="V310" i="17"/>
  <c r="W310" i="17" s="1"/>
  <c r="V198" i="17"/>
  <c r="W198" i="17" s="1"/>
  <c r="V473" i="17"/>
  <c r="W473" i="17" s="1"/>
  <c r="V409" i="17"/>
  <c r="W409" i="17" s="1"/>
  <c r="V345" i="17"/>
  <c r="W345" i="17" s="1"/>
  <c r="V249" i="17"/>
  <c r="W249" i="17" s="1"/>
  <c r="V155" i="17"/>
  <c r="W155" i="17" s="1"/>
  <c r="V149" i="17"/>
  <c r="W149" i="17" s="1"/>
  <c r="V140" i="17"/>
  <c r="W140" i="17" s="1"/>
  <c r="V76" i="17"/>
  <c r="W76" i="17" s="1"/>
  <c r="V28" i="17"/>
  <c r="W28" i="17" s="1"/>
  <c r="V67" i="17"/>
  <c r="W67" i="17" s="1"/>
  <c r="U274" i="17"/>
  <c r="Y274" i="17" s="1"/>
  <c r="V596" i="17"/>
  <c r="W596" i="17" s="1"/>
  <c r="V192" i="17"/>
  <c r="W192" i="17" s="1"/>
  <c r="AC311" i="17"/>
  <c r="V183" i="17"/>
  <c r="W183" i="17" s="1"/>
  <c r="V498" i="17"/>
  <c r="W498" i="17" s="1"/>
  <c r="AC402" i="17"/>
  <c r="V226" i="17"/>
  <c r="W226" i="17" s="1"/>
  <c r="V210" i="17"/>
  <c r="W210" i="17" s="1"/>
  <c r="AC38" i="17"/>
  <c r="V405" i="17"/>
  <c r="W405" i="17" s="1"/>
  <c r="V357" i="17"/>
  <c r="W357" i="17" s="1"/>
  <c r="AC293" i="17"/>
  <c r="AC277" i="17"/>
  <c r="V261" i="17"/>
  <c r="W261" i="17" s="1"/>
  <c r="AC161" i="17"/>
  <c r="V145" i="17"/>
  <c r="W145" i="17" s="1"/>
  <c r="V49" i="17"/>
  <c r="W49" i="17" s="1"/>
  <c r="V33" i="17"/>
  <c r="W33" i="17" s="1"/>
  <c r="V168" i="17"/>
  <c r="W168" i="17" s="1"/>
  <c r="V104" i="17"/>
  <c r="W104" i="17" s="1"/>
  <c r="V95" i="17"/>
  <c r="W95" i="17" s="1"/>
  <c r="V31" i="17"/>
  <c r="W31" i="17" s="1"/>
  <c r="U132" i="17"/>
  <c r="Y132" i="17" s="1"/>
  <c r="U267" i="17"/>
  <c r="Y267" i="17" s="1"/>
  <c r="U551" i="17"/>
  <c r="Y551" i="17" s="1"/>
  <c r="AB377" i="17"/>
  <c r="U314" i="17"/>
  <c r="Y314" i="17" s="1"/>
  <c r="V500" i="17"/>
  <c r="W500" i="17" s="1"/>
  <c r="V436" i="17"/>
  <c r="W436" i="17" s="1"/>
  <c r="AC608" i="17"/>
  <c r="V448" i="17"/>
  <c r="W448" i="17" s="1"/>
  <c r="V434" i="17"/>
  <c r="W434" i="17" s="1"/>
  <c r="AC386" i="17"/>
  <c r="U271" i="17"/>
  <c r="Y271" i="17" s="1"/>
  <c r="AB456" i="17"/>
  <c r="U462" i="17"/>
  <c r="Y462" i="17" s="1"/>
  <c r="U294" i="17"/>
  <c r="Y294" i="17" s="1"/>
  <c r="U319" i="17"/>
  <c r="Y319" i="17" s="1"/>
  <c r="U582" i="17"/>
  <c r="Y582" i="17" s="1"/>
  <c r="U450" i="17"/>
  <c r="Y450" i="17" s="1"/>
  <c r="U174" i="17"/>
  <c r="Y174" i="17" s="1"/>
  <c r="U481" i="17"/>
  <c r="Y481" i="17" s="1"/>
  <c r="U512" i="17"/>
  <c r="Y512" i="17" s="1"/>
  <c r="U168" i="17"/>
  <c r="Y168" i="17" s="1"/>
  <c r="AB445" i="17"/>
  <c r="AB127" i="17"/>
  <c r="U588" i="17"/>
  <c r="Y588" i="17" s="1"/>
  <c r="U292" i="17"/>
  <c r="Y292" i="17" s="1"/>
  <c r="U491" i="17"/>
  <c r="Y491" i="17" s="1"/>
  <c r="U375" i="17"/>
  <c r="Y375" i="17" s="1"/>
  <c r="U115" i="17"/>
  <c r="Y115" i="17" s="1"/>
  <c r="U527" i="17"/>
  <c r="Y527" i="17" s="1"/>
  <c r="AB544" i="17"/>
  <c r="U176" i="17"/>
  <c r="Y176" i="17" s="1"/>
  <c r="U495" i="17"/>
  <c r="Y495" i="17" s="1"/>
  <c r="AB55" i="17"/>
  <c r="U61" i="17"/>
  <c r="Y61" i="17" s="1"/>
  <c r="AB597" i="17"/>
  <c r="U584" i="17"/>
  <c r="U258" i="17"/>
  <c r="Y258" i="17" s="1"/>
  <c r="U85" i="17"/>
  <c r="Y85" i="17" s="1"/>
  <c r="AB428" i="17"/>
  <c r="U383" i="17"/>
  <c r="Y383" i="17" s="1"/>
  <c r="U320" i="17"/>
  <c r="Y320" i="17" s="1"/>
  <c r="AB297" i="17"/>
  <c r="V396" i="17"/>
  <c r="W396" i="17" s="1"/>
  <c r="V536" i="17"/>
  <c r="W536" i="17" s="1"/>
  <c r="V122" i="17"/>
  <c r="W122" i="17" s="1"/>
  <c r="V593" i="17"/>
  <c r="W593" i="17" s="1"/>
  <c r="V548" i="17"/>
  <c r="W548" i="17" s="1"/>
  <c r="V432" i="17"/>
  <c r="W432" i="17" s="1"/>
  <c r="V170" i="17"/>
  <c r="W170" i="17" s="1"/>
  <c r="V611" i="17"/>
  <c r="W611" i="17" s="1"/>
  <c r="V563" i="17"/>
  <c r="W563" i="17" s="1"/>
  <c r="V531" i="17"/>
  <c r="W531" i="17" s="1"/>
  <c r="V467" i="17"/>
  <c r="W467" i="17" s="1"/>
  <c r="V451" i="17"/>
  <c r="W451" i="17" s="1"/>
  <c r="V435" i="17"/>
  <c r="W435" i="17" s="1"/>
  <c r="V275" i="17"/>
  <c r="W275" i="17" s="1"/>
  <c r="V243" i="17"/>
  <c r="W243" i="17" s="1"/>
  <c r="V590" i="17"/>
  <c r="W590" i="17" s="1"/>
  <c r="V526" i="17"/>
  <c r="W526" i="17" s="1"/>
  <c r="V510" i="17"/>
  <c r="W510" i="17" s="1"/>
  <c r="V478" i="17"/>
  <c r="W478" i="17" s="1"/>
  <c r="V430" i="17"/>
  <c r="W430" i="17" s="1"/>
  <c r="V366" i="17"/>
  <c r="W366" i="17" s="1"/>
  <c r="V270" i="17"/>
  <c r="W270" i="17" s="1"/>
  <c r="V222" i="17"/>
  <c r="W222" i="17" s="1"/>
  <c r="V22" i="17"/>
  <c r="W22" i="17" s="1"/>
  <c r="V465" i="17"/>
  <c r="W465" i="17" s="1"/>
  <c r="V401" i="17"/>
  <c r="W401" i="17" s="1"/>
  <c r="V337" i="17"/>
  <c r="W337" i="17" s="1"/>
  <c r="V273" i="17"/>
  <c r="W273" i="17" s="1"/>
  <c r="V173" i="17"/>
  <c r="W173" i="17" s="1"/>
  <c r="V77" i="17"/>
  <c r="W77" i="17" s="1"/>
  <c r="V29" i="17"/>
  <c r="W29" i="17" s="1"/>
  <c r="V180" i="17"/>
  <c r="W180" i="17" s="1"/>
  <c r="V132" i="17"/>
  <c r="W132" i="17" s="1"/>
  <c r="V116" i="17"/>
  <c r="W116" i="17" s="1"/>
  <c r="V68" i="17"/>
  <c r="W68" i="17" s="1"/>
  <c r="V59" i="17"/>
  <c r="W59" i="17" s="1"/>
  <c r="V302" i="17"/>
  <c r="W302" i="17" s="1"/>
  <c r="V125" i="17"/>
  <c r="W125" i="17" s="1"/>
  <c r="V482" i="17"/>
  <c r="W482" i="17" s="1"/>
  <c r="V418" i="17"/>
  <c r="W418" i="17" s="1"/>
  <c r="V258" i="17"/>
  <c r="W258" i="17" s="1"/>
  <c r="V309" i="17"/>
  <c r="W309" i="17" s="1"/>
  <c r="V177" i="17"/>
  <c r="W177" i="17" s="1"/>
  <c r="V65" i="17"/>
  <c r="W65" i="17" s="1"/>
  <c r="V152" i="17"/>
  <c r="W152" i="17" s="1"/>
  <c r="V111" i="17"/>
  <c r="W111" i="17" s="1"/>
  <c r="U248" i="17"/>
  <c r="Y248" i="17" s="1"/>
  <c r="U591" i="17"/>
  <c r="Y591" i="17" s="1"/>
  <c r="U307" i="17"/>
  <c r="Y307" i="17" s="1"/>
  <c r="U228" i="17"/>
  <c r="Y228" i="17" s="1"/>
  <c r="AB602" i="17"/>
  <c r="U96" i="17"/>
  <c r="Y96" i="17" s="1"/>
  <c r="U92" i="17"/>
  <c r="Y92" i="17" s="1"/>
  <c r="U90" i="17"/>
  <c r="Y90" i="17" s="1"/>
  <c r="V252" i="17"/>
  <c r="W252" i="17" s="1"/>
  <c r="V524" i="17"/>
  <c r="W524" i="17" s="1"/>
  <c r="V577" i="17"/>
  <c r="W577" i="17" s="1"/>
  <c r="V208" i="17"/>
  <c r="W208" i="17" s="1"/>
  <c r="V459" i="17"/>
  <c r="W459" i="17" s="1"/>
  <c r="V395" i="17"/>
  <c r="W395" i="17" s="1"/>
  <c r="V331" i="17"/>
  <c r="W331" i="17" s="1"/>
  <c r="V267" i="17"/>
  <c r="W267" i="17" s="1"/>
  <c r="V203" i="17"/>
  <c r="W203" i="17" s="1"/>
  <c r="V518" i="17"/>
  <c r="W518" i="17" s="1"/>
  <c r="V470" i="17"/>
  <c r="W470" i="17" s="1"/>
  <c r="V230" i="17"/>
  <c r="W230" i="17" s="1"/>
  <c r="V150" i="17"/>
  <c r="W150" i="17" s="1"/>
  <c r="V118" i="17"/>
  <c r="W118" i="17" s="1"/>
  <c r="V54" i="17"/>
  <c r="W54" i="17" s="1"/>
  <c r="V569" i="17"/>
  <c r="W569" i="17" s="1"/>
  <c r="V553" i="17"/>
  <c r="W553" i="17" s="1"/>
  <c r="V281" i="17"/>
  <c r="W281" i="17" s="1"/>
  <c r="V201" i="17"/>
  <c r="W201" i="17" s="1"/>
  <c r="V181" i="17"/>
  <c r="W181" i="17" s="1"/>
  <c r="V37" i="17"/>
  <c r="W37" i="17" s="1"/>
  <c r="V124" i="17"/>
  <c r="W124" i="17" s="1"/>
  <c r="V108" i="17"/>
  <c r="W108" i="17" s="1"/>
  <c r="V60" i="17"/>
  <c r="W60" i="17" s="1"/>
  <c r="V51" i="17"/>
  <c r="W51" i="17" s="1"/>
  <c r="V79" i="17"/>
  <c r="W79" i="17" s="1"/>
  <c r="V15" i="17"/>
  <c r="W15" i="17" s="1"/>
  <c r="U242" i="17"/>
  <c r="Y242" i="17" s="1"/>
  <c r="U508" i="17"/>
  <c r="Y508" i="17" s="1"/>
  <c r="U359" i="17"/>
  <c r="Y359" i="17" s="1"/>
  <c r="U342" i="17"/>
  <c r="Y342" i="17" s="1"/>
  <c r="U235" i="17"/>
  <c r="Y235" i="17" s="1"/>
  <c r="U396" i="17"/>
  <c r="U116" i="17"/>
  <c r="Y116" i="17" s="1"/>
  <c r="U226" i="17"/>
  <c r="Y226" i="17" s="1"/>
  <c r="AB193" i="17"/>
  <c r="U18" i="17"/>
  <c r="Y18" i="17" s="1"/>
  <c r="U526" i="17"/>
  <c r="Y526" i="17" s="1"/>
  <c r="U217" i="17"/>
  <c r="Y217" i="17" s="1"/>
  <c r="U554" i="17"/>
  <c r="Y554" i="17" s="1"/>
  <c r="U114" i="17"/>
  <c r="Y114" i="17" s="1"/>
  <c r="AB219" i="17"/>
  <c r="V581" i="17"/>
  <c r="W581" i="17" s="1"/>
  <c r="V456" i="17"/>
  <c r="W456" i="17" s="1"/>
  <c r="AC212" i="17"/>
  <c r="V138" i="17"/>
  <c r="W138" i="17" s="1"/>
  <c r="V335" i="17"/>
  <c r="W335" i="17" s="1"/>
  <c r="V319" i="17"/>
  <c r="W319" i="17" s="1"/>
  <c r="V303" i="17"/>
  <c r="W303" i="17" s="1"/>
  <c r="V239" i="17"/>
  <c r="W239" i="17" s="1"/>
  <c r="V90" i="17"/>
  <c r="W90" i="17" s="1"/>
  <c r="V586" i="17"/>
  <c r="W586" i="17" s="1"/>
  <c r="V474" i="17"/>
  <c r="W474" i="17" s="1"/>
  <c r="V330" i="17"/>
  <c r="W330" i="17" s="1"/>
  <c r="V282" i="17"/>
  <c r="W282" i="17" s="1"/>
  <c r="V126" i="17"/>
  <c r="W126" i="17" s="1"/>
  <c r="V445" i="17"/>
  <c r="W445" i="17" s="1"/>
  <c r="V397" i="17"/>
  <c r="W397" i="17" s="1"/>
  <c r="V317" i="17"/>
  <c r="W317" i="17" s="1"/>
  <c r="V205" i="17"/>
  <c r="W205" i="17" s="1"/>
  <c r="AC82" i="17"/>
  <c r="V153" i="17"/>
  <c r="W153" i="17" s="1"/>
  <c r="V89" i="17"/>
  <c r="W89" i="17" s="1"/>
  <c r="V41" i="17"/>
  <c r="W41" i="17" s="1"/>
  <c r="V176" i="17"/>
  <c r="W176" i="17" s="1"/>
  <c r="V160" i="17"/>
  <c r="W160" i="17" s="1"/>
  <c r="V48" i="17"/>
  <c r="W48" i="17" s="1"/>
  <c r="V87" i="17"/>
  <c r="W87" i="17" s="1"/>
  <c r="V71" i="17"/>
  <c r="W71" i="17" s="1"/>
  <c r="U593" i="17"/>
  <c r="Y593" i="17" s="1"/>
  <c r="U159" i="17"/>
  <c r="Y159" i="17" s="1"/>
  <c r="U183" i="17"/>
  <c r="Y183" i="17" s="1"/>
  <c r="U251" i="17"/>
  <c r="Y251" i="17" s="1"/>
  <c r="U36" i="17"/>
  <c r="Y36" i="17" s="1"/>
  <c r="V455" i="17"/>
  <c r="W455" i="17" s="1"/>
  <c r="V17" i="17"/>
  <c r="W17" i="17" s="1"/>
  <c r="V424" i="17"/>
  <c r="W424" i="17" s="1"/>
  <c r="V296" i="17"/>
  <c r="W296" i="17" s="1"/>
  <c r="V370" i="17"/>
  <c r="W370" i="17" s="1"/>
  <c r="V354" i="17"/>
  <c r="W354" i="17" s="1"/>
  <c r="U172" i="17"/>
  <c r="Y172" i="17" s="1"/>
  <c r="V472" i="17"/>
  <c r="W472" i="17" s="1"/>
  <c r="V259" i="17"/>
  <c r="W259" i="17" s="1"/>
  <c r="V98" i="17"/>
  <c r="W98" i="17" s="1"/>
  <c r="V45" i="17"/>
  <c r="W45" i="17" s="1"/>
  <c r="V148" i="17"/>
  <c r="W148" i="17" s="1"/>
  <c r="V244" i="17"/>
  <c r="W244" i="17" s="1"/>
  <c r="V391" i="17"/>
  <c r="W391" i="17" s="1"/>
  <c r="V199" i="17"/>
  <c r="W199" i="17" s="1"/>
  <c r="U66" i="17"/>
  <c r="Y66" i="17" s="1"/>
  <c r="U541" i="17"/>
  <c r="Y541" i="17" s="1"/>
  <c r="V540" i="17"/>
  <c r="W540" i="17" s="1"/>
  <c r="AC110" i="17"/>
  <c r="V355" i="17"/>
  <c r="W355" i="17" s="1"/>
  <c r="V339" i="17"/>
  <c r="W339" i="17" s="1"/>
  <c r="V323" i="17"/>
  <c r="W323" i="17" s="1"/>
  <c r="V195" i="17"/>
  <c r="W195" i="17" s="1"/>
  <c r="V494" i="17"/>
  <c r="W494" i="17" s="1"/>
  <c r="V286" i="17"/>
  <c r="W286" i="17" s="1"/>
  <c r="V134" i="17"/>
  <c r="W134" i="17" s="1"/>
  <c r="V209" i="17"/>
  <c r="W209" i="17" s="1"/>
  <c r="V193" i="17"/>
  <c r="W193" i="17" s="1"/>
  <c r="V93" i="17"/>
  <c r="W93" i="17" s="1"/>
  <c r="V100" i="17"/>
  <c r="W100" i="17" s="1"/>
  <c r="V36" i="17"/>
  <c r="W36" i="17" s="1"/>
  <c r="V107" i="17"/>
  <c r="W107" i="17" s="1"/>
  <c r="U81" i="17"/>
  <c r="Y81" i="17" s="1"/>
  <c r="U73" i="17"/>
  <c r="Y73" i="17" s="1"/>
  <c r="V613" i="17"/>
  <c r="W613" i="17" s="1"/>
  <c r="V78" i="17"/>
  <c r="W78" i="17" s="1"/>
  <c r="U586" i="17"/>
  <c r="Y586" i="17" s="1"/>
  <c r="U154" i="17"/>
  <c r="Y154" i="17" s="1"/>
  <c r="U573" i="17"/>
  <c r="Y573" i="17" s="1"/>
  <c r="U147" i="17"/>
  <c r="Y147" i="17" s="1"/>
  <c r="U337" i="17"/>
  <c r="Y337" i="17" s="1"/>
  <c r="AB186" i="17"/>
  <c r="U67" i="17"/>
  <c r="Y67" i="17" s="1"/>
  <c r="AB48" i="17"/>
  <c r="U227" i="17"/>
  <c r="Y227" i="17" s="1"/>
  <c r="U545" i="17"/>
  <c r="Y545" i="17" s="1"/>
  <c r="U102" i="17"/>
  <c r="Y102" i="17" s="1"/>
  <c r="AB249" i="17"/>
  <c r="AB339" i="17"/>
  <c r="AB263" i="17"/>
  <c r="V300" i="17"/>
  <c r="W300" i="17" s="1"/>
  <c r="V264" i="17"/>
  <c r="W264" i="17" s="1"/>
  <c r="V200" i="17"/>
  <c r="W200" i="17" s="1"/>
  <c r="V468" i="17"/>
  <c r="W468" i="17" s="1"/>
  <c r="V276" i="17"/>
  <c r="W276" i="17" s="1"/>
  <c r="AC288" i="17"/>
  <c r="V224" i="17"/>
  <c r="W224" i="17" s="1"/>
  <c r="V511" i="17"/>
  <c r="W511" i="17" s="1"/>
  <c r="V495" i="17"/>
  <c r="W495" i="17" s="1"/>
  <c r="AC287" i="17"/>
  <c r="V223" i="17"/>
  <c r="W223" i="17" s="1"/>
  <c r="V26" i="17"/>
  <c r="W26" i="17" s="1"/>
  <c r="V410" i="17"/>
  <c r="W410" i="17" s="1"/>
  <c r="V314" i="17"/>
  <c r="W314" i="17" s="1"/>
  <c r="V298" i="17"/>
  <c r="W298" i="17" s="1"/>
  <c r="V186" i="17"/>
  <c r="W186" i="17" s="1"/>
  <c r="V158" i="17"/>
  <c r="W158" i="17" s="1"/>
  <c r="V557" i="17"/>
  <c r="W557" i="17" s="1"/>
  <c r="V413" i="17"/>
  <c r="W413" i="17" s="1"/>
  <c r="AC333" i="17"/>
  <c r="V237" i="17"/>
  <c r="W237" i="17" s="1"/>
  <c r="V105" i="17"/>
  <c r="W105" i="17" s="1"/>
  <c r="V144" i="17"/>
  <c r="W144" i="17" s="1"/>
  <c r="V64" i="17"/>
  <c r="W64" i="17" s="1"/>
  <c r="V103" i="17"/>
  <c r="W103" i="17" s="1"/>
  <c r="U315" i="17"/>
  <c r="Y315" i="17" s="1"/>
  <c r="U420" i="17"/>
  <c r="Y420" i="17" s="1"/>
  <c r="U387" i="17"/>
  <c r="Y387" i="17" s="1"/>
  <c r="U108" i="17"/>
  <c r="Y108" i="17" s="1"/>
  <c r="AB24" i="17"/>
  <c r="U259" i="17"/>
  <c r="Y259" i="17" s="1"/>
  <c r="V496" i="17"/>
  <c r="W496" i="17" s="1"/>
  <c r="V595" i="17"/>
  <c r="W595" i="17" s="1"/>
  <c r="V499" i="17"/>
  <c r="W499" i="17" s="1"/>
  <c r="U57" i="17"/>
  <c r="Y57" i="17" s="1"/>
  <c r="AB461" i="17"/>
  <c r="U549" i="17"/>
  <c r="Y549" i="17" s="1"/>
  <c r="AB109" i="17"/>
  <c r="AB563" i="17"/>
  <c r="U266" i="17"/>
  <c r="Y266" i="17" s="1"/>
  <c r="U236" i="17"/>
  <c r="Y236" i="17" s="1"/>
  <c r="U341" i="17"/>
  <c r="Y341" i="17" s="1"/>
  <c r="U34" i="17"/>
  <c r="Y34" i="17" s="1"/>
  <c r="U233" i="17"/>
  <c r="Y233" i="17" s="1"/>
  <c r="U100" i="17"/>
  <c r="Y100" i="17" s="1"/>
  <c r="AB243" i="17"/>
  <c r="U91" i="17"/>
  <c r="Y91" i="17" s="1"/>
  <c r="U80" i="17"/>
  <c r="Y80" i="17" s="1"/>
  <c r="U17" i="17"/>
  <c r="Y17" i="17" s="1"/>
  <c r="U30" i="17"/>
  <c r="Y30" i="17" s="1"/>
  <c r="V492" i="17"/>
  <c r="W492" i="17" s="1"/>
  <c r="V236" i="17"/>
  <c r="W236" i="17" s="1"/>
  <c r="V476" i="17"/>
  <c r="W476" i="17" s="1"/>
  <c r="V196" i="17"/>
  <c r="W196" i="17" s="1"/>
  <c r="V272" i="17"/>
  <c r="W272" i="17" s="1"/>
  <c r="V523" i="17"/>
  <c r="W523" i="17" s="1"/>
  <c r="V507" i="17"/>
  <c r="W507" i="17" s="1"/>
  <c r="V443" i="17"/>
  <c r="W443" i="17" s="1"/>
  <c r="V379" i="17"/>
  <c r="W379" i="17" s="1"/>
  <c r="V315" i="17"/>
  <c r="W315" i="17" s="1"/>
  <c r="V251" i="17"/>
  <c r="W251" i="17" s="1"/>
  <c r="V187" i="17"/>
  <c r="W187" i="17" s="1"/>
  <c r="V159" i="17"/>
  <c r="W159" i="17" s="1"/>
  <c r="V74" i="17"/>
  <c r="W74" i="17" s="1"/>
  <c r="V486" i="17"/>
  <c r="W486" i="17" s="1"/>
  <c r="V438" i="17"/>
  <c r="W438" i="17" s="1"/>
  <c r="V262" i="17"/>
  <c r="W262" i="17" s="1"/>
  <c r="V214" i="17"/>
  <c r="W214" i="17" s="1"/>
  <c r="V182" i="17"/>
  <c r="W182" i="17" s="1"/>
  <c r="V457" i="17"/>
  <c r="W457" i="17" s="1"/>
  <c r="V393" i="17"/>
  <c r="W393" i="17" s="1"/>
  <c r="V329" i="17"/>
  <c r="W329" i="17" s="1"/>
  <c r="V313" i="17"/>
  <c r="W313" i="17" s="1"/>
  <c r="V265" i="17"/>
  <c r="W265" i="17" s="1"/>
  <c r="V233" i="17"/>
  <c r="W233" i="17" s="1"/>
  <c r="V185" i="17"/>
  <c r="W185" i="17" s="1"/>
  <c r="V123" i="17"/>
  <c r="W123" i="17" s="1"/>
  <c r="V66" i="17"/>
  <c r="W66" i="17" s="1"/>
  <c r="V165" i="17"/>
  <c r="W165" i="17" s="1"/>
  <c r="V133" i="17"/>
  <c r="W133" i="17" s="1"/>
  <c r="V69" i="17"/>
  <c r="W69" i="17" s="1"/>
  <c r="V21" i="17"/>
  <c r="W21" i="17" s="1"/>
  <c r="V172" i="17"/>
  <c r="W172" i="17" s="1"/>
  <c r="V92" i="17"/>
  <c r="W92" i="17" s="1"/>
  <c r="V44" i="17"/>
  <c r="W44" i="17" s="1"/>
  <c r="V115" i="17"/>
  <c r="W115" i="17" s="1"/>
  <c r="V99" i="17"/>
  <c r="W99" i="17" s="1"/>
  <c r="V35" i="17"/>
  <c r="W35" i="17" s="1"/>
  <c r="U164" i="17"/>
  <c r="Y164" i="17" s="1"/>
  <c r="U444" i="17"/>
  <c r="Y444" i="17" s="1"/>
  <c r="AB313" i="17"/>
  <c r="U33" i="17"/>
  <c r="Y33" i="17" s="1"/>
  <c r="AC13" i="17"/>
  <c r="U97" i="17"/>
  <c r="Y97" i="17" s="1"/>
  <c r="U155" i="17"/>
  <c r="Y155" i="17" s="1"/>
  <c r="U559" i="17"/>
  <c r="Y559" i="17" s="1"/>
  <c r="AB335" i="17"/>
  <c r="U246" i="17"/>
  <c r="Y246" i="17" s="1"/>
  <c r="U125" i="17"/>
  <c r="Y125" i="17" s="1"/>
  <c r="U560" i="17"/>
  <c r="Y560" i="17" s="1"/>
  <c r="U283" i="17"/>
  <c r="Y283" i="17" s="1"/>
  <c r="V488" i="17"/>
  <c r="W488" i="17" s="1"/>
  <c r="V178" i="17"/>
  <c r="W178" i="17" s="1"/>
  <c r="V295" i="17"/>
  <c r="W295" i="17" s="1"/>
  <c r="V229" i="17"/>
  <c r="W229" i="17" s="1"/>
  <c r="V197" i="17"/>
  <c r="W197" i="17" s="1"/>
  <c r="V56" i="17"/>
  <c r="W56" i="17" s="1"/>
  <c r="U175" i="17"/>
  <c r="Y175" i="17" s="1"/>
  <c r="U355" i="17"/>
  <c r="Y355" i="17" s="1"/>
  <c r="U322" i="17"/>
  <c r="Y322" i="17" s="1"/>
  <c r="U564" i="17"/>
  <c r="Y564" i="17" s="1"/>
  <c r="AB202" i="17"/>
  <c r="AB336" i="17"/>
  <c r="U120" i="17"/>
  <c r="Y120" i="17" s="1"/>
  <c r="U234" i="17"/>
  <c r="Y234" i="17" s="1"/>
  <c r="U47" i="17"/>
  <c r="Y47" i="17" s="1"/>
  <c r="AB93" i="17"/>
  <c r="AB611" i="17"/>
  <c r="U72" i="17"/>
  <c r="Y72" i="17" s="1"/>
  <c r="U117" i="17"/>
  <c r="U493" i="17"/>
  <c r="Y493" i="17" s="1"/>
  <c r="U121" i="17"/>
  <c r="Y121" i="17" s="1"/>
  <c r="U403" i="17"/>
  <c r="Y403" i="17" s="1"/>
  <c r="U78" i="17"/>
  <c r="Y78" i="17" s="1"/>
  <c r="U567" i="17"/>
  <c r="Y567" i="17" s="1"/>
  <c r="U195" i="17"/>
  <c r="Y195" i="17" s="1"/>
  <c r="U332" i="17"/>
  <c r="Y332" i="17" s="1"/>
  <c r="AB257" i="17"/>
  <c r="AB162" i="17"/>
  <c r="U610" i="17"/>
  <c r="Y610" i="17" s="1"/>
  <c r="U303" i="17"/>
  <c r="Y303" i="17" s="1"/>
  <c r="U28" i="17"/>
  <c r="Y28" i="17" s="1"/>
  <c r="AB587" i="17"/>
  <c r="U131" i="17"/>
  <c r="Y131" i="17" s="1"/>
  <c r="U500" i="17"/>
  <c r="Y500" i="17" s="1"/>
  <c r="AB247" i="17"/>
  <c r="U107" i="17"/>
  <c r="Y107" i="17" s="1"/>
  <c r="V146" i="17"/>
  <c r="W146" i="17" s="1"/>
  <c r="V419" i="17"/>
  <c r="W419" i="17" s="1"/>
  <c r="V371" i="17"/>
  <c r="W371" i="17" s="1"/>
  <c r="V211" i="17"/>
  <c r="W211" i="17" s="1"/>
  <c r="V206" i="17"/>
  <c r="W206" i="17" s="1"/>
  <c r="V86" i="17"/>
  <c r="W86" i="17" s="1"/>
  <c r="V257" i="17"/>
  <c r="W257" i="17" s="1"/>
  <c r="V157" i="17"/>
  <c r="W157" i="17" s="1"/>
  <c r="V399" i="17"/>
  <c r="W399" i="17" s="1"/>
  <c r="V362" i="17"/>
  <c r="W362" i="17" s="1"/>
  <c r="U373" i="17"/>
  <c r="Y373" i="17" s="1"/>
  <c r="AB50" i="17"/>
  <c r="U477" i="17"/>
  <c r="Y477" i="17" s="1"/>
  <c r="AB94" i="17"/>
  <c r="U56" i="17"/>
  <c r="Y56" i="17" s="1"/>
  <c r="U170" i="17"/>
  <c r="Y170" i="17" s="1"/>
  <c r="U86" i="17"/>
  <c r="U509" i="17"/>
  <c r="Y509" i="17" s="1"/>
  <c r="AB543" i="17"/>
  <c r="AB345" i="17"/>
  <c r="V428" i="17"/>
  <c r="W428" i="17" s="1"/>
  <c r="V359" i="17"/>
  <c r="W359" i="17" s="1"/>
  <c r="V343" i="17"/>
  <c r="W343" i="17" s="1"/>
  <c r="V215" i="17"/>
  <c r="W215" i="17" s="1"/>
  <c r="V578" i="17"/>
  <c r="W578" i="17" s="1"/>
  <c r="V194" i="17"/>
  <c r="W194" i="17" s="1"/>
  <c r="V453" i="17"/>
  <c r="W453" i="17" s="1"/>
  <c r="V437" i="17"/>
  <c r="W437" i="17" s="1"/>
  <c r="V421" i="17"/>
  <c r="W421" i="17" s="1"/>
  <c r="V245" i="17"/>
  <c r="W245" i="17" s="1"/>
  <c r="V179" i="17"/>
  <c r="W179" i="17" s="1"/>
  <c r="V113" i="17"/>
  <c r="W113" i="17" s="1"/>
  <c r="V120" i="17"/>
  <c r="W120" i="17" s="1"/>
  <c r="V72" i="17"/>
  <c r="W72" i="17" s="1"/>
  <c r="V24" i="17"/>
  <c r="W24" i="17" s="1"/>
  <c r="V47" i="17"/>
  <c r="W47" i="17" s="1"/>
  <c r="AB287" i="17"/>
  <c r="U14" i="17"/>
  <c r="Y14" i="17" s="1"/>
  <c r="U569" i="17"/>
  <c r="Y569" i="17" s="1"/>
  <c r="V597" i="17"/>
  <c r="W597" i="17" s="1"/>
  <c r="V292" i="17"/>
  <c r="W292" i="17" s="1"/>
  <c r="V240" i="17"/>
  <c r="W240" i="17" s="1"/>
  <c r="V515" i="17"/>
  <c r="W515" i="17" s="1"/>
  <c r="V291" i="17"/>
  <c r="W291" i="17" s="1"/>
  <c r="V143" i="17"/>
  <c r="W143" i="17" s="1"/>
  <c r="V42" i="17"/>
  <c r="W42" i="17" s="1"/>
  <c r="V462" i="17"/>
  <c r="W462" i="17" s="1"/>
  <c r="V190" i="17"/>
  <c r="W190" i="17" s="1"/>
  <c r="V166" i="17"/>
  <c r="W166" i="17" s="1"/>
  <c r="V241" i="17"/>
  <c r="W241" i="17" s="1"/>
  <c r="V171" i="17"/>
  <c r="W171" i="17" s="1"/>
  <c r="V141" i="17"/>
  <c r="W141" i="17" s="1"/>
  <c r="V164" i="17"/>
  <c r="W164" i="17" s="1"/>
  <c r="V52" i="17"/>
  <c r="W52" i="17" s="1"/>
  <c r="V27" i="17"/>
  <c r="W27" i="17" s="1"/>
  <c r="U530" i="17"/>
  <c r="Y530" i="17" s="1"/>
  <c r="U523" i="17"/>
  <c r="Y523" i="17" s="1"/>
  <c r="U524" i="17"/>
  <c r="Y524" i="17" s="1"/>
  <c r="U369" i="17"/>
  <c r="Y369" i="17" s="1"/>
  <c r="U89" i="17"/>
  <c r="Y89" i="17" s="1"/>
  <c r="U35" i="17"/>
  <c r="Y35" i="17" s="1"/>
  <c r="AB63" i="17"/>
  <c r="AB58" i="17"/>
  <c r="U540" i="17"/>
  <c r="Y540" i="17" s="1"/>
  <c r="V284" i="17"/>
  <c r="W284" i="17" s="1"/>
  <c r="V447" i="17"/>
  <c r="W447" i="17" s="1"/>
  <c r="V431" i="17"/>
  <c r="W431" i="17" s="1"/>
  <c r="V271" i="17"/>
  <c r="W271" i="17" s="1"/>
  <c r="V207" i="17"/>
  <c r="W207" i="17" s="1"/>
  <c r="V135" i="17"/>
  <c r="W135" i="17" s="1"/>
  <c r="AC378" i="17"/>
  <c r="V346" i="17"/>
  <c r="W346" i="17" s="1"/>
  <c r="V218" i="17"/>
  <c r="W218" i="17" s="1"/>
  <c r="V70" i="17"/>
  <c r="W70" i="17" s="1"/>
  <c r="V573" i="17"/>
  <c r="W573" i="17" s="1"/>
  <c r="V365" i="17"/>
  <c r="W365" i="17" s="1"/>
  <c r="V269" i="17"/>
  <c r="W269" i="17" s="1"/>
  <c r="V163" i="17"/>
  <c r="W163" i="17" s="1"/>
  <c r="V25" i="17"/>
  <c r="W25" i="17" s="1"/>
  <c r="V128" i="17"/>
  <c r="W128" i="17" s="1"/>
  <c r="V112" i="17"/>
  <c r="W112" i="17" s="1"/>
  <c r="V80" i="17"/>
  <c r="W80" i="17" s="1"/>
  <c r="AC16" i="17"/>
  <c r="L624" i="17"/>
  <c r="N624" i="17"/>
  <c r="K624" i="17"/>
  <c r="C624" i="17"/>
  <c r="S624" i="17"/>
  <c r="J624" i="17"/>
  <c r="U422" i="17"/>
  <c r="Y422" i="17" s="1"/>
  <c r="AB141" i="17"/>
  <c r="U469" i="17"/>
  <c r="Y469" i="17" s="1"/>
  <c r="AB430" i="17"/>
  <c r="AB310" i="17"/>
  <c r="U464" i="17"/>
  <c r="Y464" i="17" s="1"/>
  <c r="U601" i="17"/>
  <c r="Y601" i="17" s="1"/>
  <c r="V380" i="17"/>
  <c r="W380" i="17" s="1"/>
  <c r="U281" i="17"/>
  <c r="Y281" i="17" s="1"/>
  <c r="E624" i="17"/>
  <c r="T624" i="17"/>
  <c r="I624" i="17"/>
  <c r="M624" i="17"/>
  <c r="U391" i="17"/>
  <c r="Y391" i="17" s="1"/>
  <c r="U180" i="17"/>
  <c r="Y180" i="17" s="1"/>
  <c r="U606" i="17"/>
  <c r="Y606" i="17" s="1"/>
  <c r="U497" i="17"/>
  <c r="Y497" i="17" s="1"/>
  <c r="AB425" i="17"/>
  <c r="U197" i="17"/>
  <c r="Y197" i="17" s="1"/>
  <c r="U358" i="17"/>
  <c r="Y358" i="17" s="1"/>
  <c r="AB269" i="17"/>
  <c r="AB485" i="17"/>
  <c r="U459" i="17"/>
  <c r="Y459" i="17" s="1"/>
  <c r="U241" i="17"/>
  <c r="Y241" i="17" s="1"/>
  <c r="U503" i="17"/>
  <c r="Y503" i="17" s="1"/>
  <c r="U126" i="17"/>
  <c r="Y126" i="17" s="1"/>
  <c r="U254" i="17"/>
  <c r="Y254" i="17" s="1"/>
  <c r="AB576" i="17"/>
  <c r="U140" i="17"/>
  <c r="Y140" i="17" s="1"/>
  <c r="U178" i="17"/>
  <c r="Y178" i="17" s="1"/>
  <c r="V583" i="17"/>
  <c r="W583" i="17" s="1"/>
  <c r="V551" i="17"/>
  <c r="W551" i="17" s="1"/>
  <c r="V514" i="17"/>
  <c r="W514" i="17" s="1"/>
  <c r="V450" i="17"/>
  <c r="W450" i="17" s="1"/>
  <c r="D624" i="17"/>
  <c r="U316" i="17"/>
  <c r="Y316" i="17" s="1"/>
  <c r="U118" i="17"/>
  <c r="Y118" i="17" s="1"/>
  <c r="U433" i="17"/>
  <c r="Y433" i="17" s="1"/>
  <c r="AB399" i="17"/>
  <c r="U528" i="17"/>
  <c r="Y528" i="17" s="1"/>
  <c r="U205" i="17"/>
  <c r="Y205" i="17" s="1"/>
  <c r="U327" i="17"/>
  <c r="Y327" i="17" s="1"/>
  <c r="U398" i="17"/>
  <c r="Y398" i="17" s="1"/>
  <c r="U350" i="17"/>
  <c r="Y350" i="17" s="1"/>
  <c r="U275" i="17"/>
  <c r="Y275" i="17" s="1"/>
  <c r="U290" i="17"/>
  <c r="Y290" i="17" s="1"/>
  <c r="U192" i="17"/>
  <c r="Y192" i="17" s="1"/>
  <c r="U264" i="17"/>
  <c r="Y264" i="17" s="1"/>
  <c r="U252" i="17"/>
  <c r="Y252" i="17" s="1"/>
  <c r="V364" i="17"/>
  <c r="W364" i="17" s="1"/>
  <c r="V348" i="17"/>
  <c r="W348" i="17" s="1"/>
  <c r="V382" i="17"/>
  <c r="W382" i="17" s="1"/>
  <c r="V318" i="17"/>
  <c r="W318" i="17" s="1"/>
  <c r="V481" i="17"/>
  <c r="W481" i="17" s="1"/>
  <c r="V417" i="17"/>
  <c r="W417" i="17" s="1"/>
  <c r="V353" i="17"/>
  <c r="W353" i="17" s="1"/>
  <c r="U489" i="17"/>
  <c r="Y489" i="17" s="1"/>
  <c r="U190" i="17"/>
  <c r="Y190" i="17" s="1"/>
  <c r="U344" i="17"/>
  <c r="Y344" i="17" s="1"/>
  <c r="U472" i="17"/>
  <c r="Y472" i="17" s="1"/>
  <c r="V340" i="17"/>
  <c r="W340" i="17" s="1"/>
  <c r="V592" i="17"/>
  <c r="W592" i="17" s="1"/>
  <c r="V591" i="17"/>
  <c r="W591" i="17" s="1"/>
  <c r="V506" i="17"/>
  <c r="W506" i="17" s="1"/>
  <c r="V442" i="17"/>
  <c r="W442" i="17" s="1"/>
  <c r="U505" i="17"/>
  <c r="Y505" i="17" s="1"/>
  <c r="AB609" i="17"/>
  <c r="U136" i="17"/>
  <c r="Y136" i="17" s="1"/>
  <c r="AB270" i="17"/>
  <c r="U203" i="17"/>
  <c r="Y203" i="17" s="1"/>
  <c r="AB449" i="17"/>
  <c r="U289" i="17"/>
  <c r="Y289" i="17" s="1"/>
  <c r="U517" i="17"/>
  <c r="Y517" i="17" s="1"/>
  <c r="U187" i="17"/>
  <c r="Y187" i="17" s="1"/>
  <c r="AB488" i="17"/>
  <c r="AC206" i="17"/>
  <c r="U492" i="17"/>
  <c r="U145" i="17"/>
  <c r="Y145" i="17" s="1"/>
  <c r="U407" i="17"/>
  <c r="Y407" i="17" s="1"/>
  <c r="U144" i="17"/>
  <c r="Y144" i="17" s="1"/>
  <c r="U348" i="17"/>
  <c r="Y348" i="17" s="1"/>
  <c r="U208" i="17"/>
  <c r="Y208" i="17" s="1"/>
  <c r="AB326" i="17"/>
  <c r="V600" i="17"/>
  <c r="W600" i="17" s="1"/>
  <c r="V558" i="17"/>
  <c r="W558" i="17" s="1"/>
  <c r="V398" i="17"/>
  <c r="W398" i="17" s="1"/>
  <c r="V334" i="17"/>
  <c r="W334" i="17" s="1"/>
  <c r="V545" i="17"/>
  <c r="W545" i="17" s="1"/>
  <c r="V497" i="17"/>
  <c r="W497" i="17" s="1"/>
  <c r="V433" i="17"/>
  <c r="W433" i="17" s="1"/>
  <c r="V369" i="17"/>
  <c r="W369" i="17" s="1"/>
  <c r="AB262" i="17"/>
  <c r="U521" i="17"/>
  <c r="Y521" i="17" s="1"/>
  <c r="AB210" i="17"/>
  <c r="U134" i="17"/>
  <c r="U529" i="17"/>
  <c r="Y529" i="17" s="1"/>
  <c r="U213" i="17"/>
  <c r="Y213" i="17" s="1"/>
  <c r="U608" i="17"/>
  <c r="Y608" i="17" s="1"/>
  <c r="U276" i="17"/>
  <c r="Y276" i="17" s="1"/>
  <c r="U470" i="17"/>
  <c r="Y470" i="17" s="1"/>
  <c r="U415" i="17"/>
  <c r="Y415" i="17" s="1"/>
  <c r="U338" i="17"/>
  <c r="Y338" i="17" s="1"/>
  <c r="U284" i="17"/>
  <c r="Y284" i="17" s="1"/>
  <c r="U273" i="17"/>
  <c r="Y273" i="17" s="1"/>
  <c r="U352" i="17"/>
  <c r="Y352" i="17" s="1"/>
  <c r="U511" i="17"/>
  <c r="Y511" i="17" s="1"/>
  <c r="U441" i="17"/>
  <c r="Y441" i="17" s="1"/>
  <c r="U299" i="17"/>
  <c r="Y299" i="17" s="1"/>
  <c r="U285" i="17"/>
  <c r="Y285" i="17" s="1"/>
  <c r="V392" i="17"/>
  <c r="W392" i="17" s="1"/>
  <c r="V404" i="17"/>
  <c r="W404" i="17" s="1"/>
  <c r="AC527" i="17"/>
  <c r="V570" i="17"/>
  <c r="W570" i="17" s="1"/>
  <c r="AC554" i="17"/>
  <c r="V458" i="17"/>
  <c r="W458" i="17" s="1"/>
  <c r="U513" i="17"/>
  <c r="Y513" i="17" s="1"/>
  <c r="U149" i="17"/>
  <c r="Y149" i="17" s="1"/>
  <c r="U360" i="17"/>
  <c r="Y360" i="17" s="1"/>
  <c r="AB200" i="17"/>
  <c r="U142" i="17"/>
  <c r="Y142" i="17" s="1"/>
  <c r="U480" i="17"/>
  <c r="Y480" i="17" s="1"/>
  <c r="U416" i="17"/>
  <c r="Y416" i="17" s="1"/>
  <c r="U501" i="17"/>
  <c r="Y501" i="17" s="1"/>
  <c r="AB157" i="17"/>
  <c r="U536" i="17"/>
  <c r="Y536" i="17" s="1"/>
  <c r="U198" i="17"/>
  <c r="Y198" i="17" s="1"/>
  <c r="U514" i="17"/>
  <c r="Y514" i="17" s="1"/>
  <c r="U575" i="17"/>
  <c r="Y575" i="17" s="1"/>
  <c r="U221" i="17"/>
  <c r="Y221" i="17" s="1"/>
  <c r="U476" i="17"/>
  <c r="Y476" i="17" s="1"/>
  <c r="U194" i="17"/>
  <c r="Y194" i="17" s="1"/>
  <c r="U212" i="17"/>
  <c r="Y212" i="17" s="1"/>
  <c r="V566" i="17"/>
  <c r="W566" i="17" s="1"/>
  <c r="V390" i="17"/>
  <c r="W390" i="17" s="1"/>
  <c r="V326" i="17"/>
  <c r="W326" i="17" s="1"/>
  <c r="V505" i="17"/>
  <c r="W505" i="17" s="1"/>
  <c r="V441" i="17"/>
  <c r="W441" i="17" s="1"/>
  <c r="V377" i="17"/>
  <c r="W377" i="17" s="1"/>
  <c r="V533" i="17"/>
  <c r="W533" i="17" s="1"/>
  <c r="U244" i="17"/>
  <c r="Y244" i="17" s="1"/>
  <c r="U110" i="17"/>
  <c r="Y110" i="17" s="1"/>
  <c r="U518" i="17"/>
  <c r="Y518" i="17" s="1"/>
  <c r="U368" i="17"/>
  <c r="AH367" i="17" s="1"/>
  <c r="U293" i="17"/>
  <c r="U406" i="17"/>
  <c r="Y406" i="17" s="1"/>
  <c r="AC612" i="17"/>
  <c r="V520" i="17"/>
  <c r="W520" i="17" s="1"/>
  <c r="V543" i="17"/>
  <c r="W543" i="17" s="1"/>
  <c r="U301" i="17"/>
  <c r="Y301" i="17" s="1"/>
  <c r="U302" i="17"/>
  <c r="Y302" i="17" s="1"/>
  <c r="U448" i="17"/>
  <c r="Y448" i="17" s="1"/>
  <c r="U390" i="17"/>
  <c r="Y390" i="17" s="1"/>
  <c r="U328" i="17"/>
  <c r="Y328" i="17" s="1"/>
  <c r="AB160" i="17"/>
  <c r="U370" i="17"/>
  <c r="Y370" i="17" s="1"/>
  <c r="AB181" i="17"/>
  <c r="U238" i="17"/>
  <c r="Y238" i="17" s="1"/>
  <c r="U432" i="17"/>
  <c r="Y432" i="17" s="1"/>
  <c r="U354" i="17"/>
  <c r="Y354" i="17" s="1"/>
  <c r="U286" i="17"/>
  <c r="Y286" i="17" s="1"/>
  <c r="U440" i="17"/>
  <c r="Y440" i="17" s="1"/>
  <c r="U465" i="17"/>
  <c r="Y465" i="17" s="1"/>
  <c r="V388" i="17"/>
  <c r="W388" i="17" s="1"/>
  <c r="V528" i="17"/>
  <c r="W528" i="17" s="1"/>
  <c r="V603" i="17"/>
  <c r="W603" i="17" s="1"/>
  <c r="V534" i="17"/>
  <c r="W534" i="17" s="1"/>
  <c r="V358" i="17"/>
  <c r="W358" i="17" s="1"/>
  <c r="U152" i="17"/>
  <c r="Y152" i="17" s="1"/>
  <c r="U214" i="17"/>
  <c r="Y214" i="17" s="1"/>
  <c r="AB165" i="17"/>
  <c r="U224" i="17"/>
  <c r="Y224" i="17" s="1"/>
  <c r="U318" i="17"/>
  <c r="AB216" i="17"/>
  <c r="U278" i="17"/>
  <c r="Y278" i="17" s="1"/>
  <c r="U296" i="17"/>
  <c r="Y296" i="17" s="1"/>
  <c r="U173" i="17"/>
  <c r="Y173" i="17" s="1"/>
  <c r="U612" i="17"/>
  <c r="Y612" i="17" s="1"/>
  <c r="V412" i="17"/>
  <c r="W412" i="17" s="1"/>
  <c r="V576" i="17"/>
  <c r="W576" i="17" s="1"/>
  <c r="V535" i="17"/>
  <c r="W535" i="17" s="1"/>
  <c r="V582" i="17"/>
  <c r="W582" i="17" s="1"/>
  <c r="V406" i="17"/>
  <c r="W406" i="17" s="1"/>
  <c r="V342" i="17"/>
  <c r="W342" i="17" s="1"/>
  <c r="U402" i="17"/>
  <c r="Y402" i="17" s="1"/>
  <c r="U487" i="17"/>
  <c r="Y487" i="17" s="1"/>
  <c r="V356" i="17"/>
  <c r="W356" i="17" s="1"/>
  <c r="U418" i="17"/>
  <c r="Y418" i="17" s="1"/>
  <c r="U475" i="17"/>
  <c r="Y475" i="17" s="1"/>
  <c r="U502" i="17"/>
  <c r="Y502" i="17" s="1"/>
  <c r="U434" i="17"/>
  <c r="Y434" i="17" s="1"/>
  <c r="U466" i="17"/>
  <c r="Y466" i="17" s="1"/>
  <c r="AC24" i="17"/>
  <c r="AC580" i="17"/>
  <c r="V522" i="17"/>
  <c r="W522" i="17" s="1"/>
  <c r="V525" i="17"/>
  <c r="W525" i="17" s="1"/>
  <c r="V537" i="17"/>
  <c r="W537" i="17" s="1"/>
  <c r="AC521" i="17"/>
  <c r="AC538" i="17"/>
  <c r="V598" i="17"/>
  <c r="W598" i="17" s="1"/>
  <c r="U486" i="17"/>
  <c r="Y486" i="17" s="1"/>
  <c r="AC149" i="17"/>
  <c r="AC60" i="17"/>
  <c r="U494" i="17"/>
  <c r="Y494" i="17" s="1"/>
  <c r="V544" i="17"/>
  <c r="W544" i="17" s="1"/>
  <c r="U596" i="17"/>
  <c r="Y596" i="17" s="1"/>
  <c r="U447" i="17"/>
  <c r="Y447" i="17" s="1"/>
  <c r="V541" i="17"/>
  <c r="W541" i="17" s="1"/>
  <c r="U604" i="17"/>
  <c r="Y604" i="17" s="1"/>
  <c r="AC587" i="17"/>
  <c r="V521" i="17"/>
  <c r="W521" i="17" s="1"/>
  <c r="U556" i="17"/>
  <c r="Y556" i="17" s="1"/>
  <c r="AC563" i="17"/>
  <c r="U463" i="17"/>
  <c r="Y463" i="17" s="1"/>
  <c r="U482" i="17"/>
  <c r="Y482" i="17" s="1"/>
  <c r="V587" i="17"/>
  <c r="W587" i="17" s="1"/>
  <c r="U443" i="17"/>
  <c r="Y443" i="17" s="1"/>
  <c r="AC353" i="17"/>
  <c r="AC122" i="17"/>
  <c r="AB458" i="17"/>
  <c r="V416" i="17"/>
  <c r="W416" i="17" s="1"/>
  <c r="AC508" i="17"/>
  <c r="AC390" i="17"/>
  <c r="AC123" i="17"/>
  <c r="V352" i="17"/>
  <c r="W352" i="17" s="1"/>
  <c r="AB467" i="17"/>
  <c r="AC537" i="17"/>
  <c r="AC69" i="17"/>
  <c r="AC260" i="17"/>
  <c r="AC502" i="17"/>
  <c r="AC101" i="17"/>
  <c r="AC35" i="17"/>
  <c r="V568" i="17"/>
  <c r="W568" i="17" s="1"/>
  <c r="V400" i="17"/>
  <c r="W400" i="17" s="1"/>
  <c r="V336" i="17"/>
  <c r="W336" i="17" s="1"/>
  <c r="AC294" i="17"/>
  <c r="AC524" i="17"/>
  <c r="AC464" i="17"/>
  <c r="AC124" i="17"/>
  <c r="AC379" i="17"/>
  <c r="AC115" i="17"/>
  <c r="AC425" i="17"/>
  <c r="AC470" i="17"/>
  <c r="AC262" i="17"/>
  <c r="AC181" i="17"/>
  <c r="AC443" i="17"/>
  <c r="U580" i="17"/>
  <c r="Y580" i="17" s="1"/>
  <c r="U563" i="17"/>
  <c r="Y563" i="17" s="1"/>
  <c r="U288" i="17"/>
  <c r="Y288" i="17" s="1"/>
  <c r="AC496" i="17"/>
  <c r="AC195" i="17"/>
  <c r="AC536" i="17"/>
  <c r="AC270" i="17"/>
  <c r="AC91" i="17"/>
  <c r="AC366" i="17"/>
  <c r="AC20" i="17"/>
  <c r="V579" i="17"/>
  <c r="W579" i="17" s="1"/>
  <c r="U548" i="17"/>
  <c r="Y548" i="17" s="1"/>
  <c r="U483" i="17"/>
  <c r="Y483" i="17" s="1"/>
  <c r="AC180" i="17"/>
  <c r="AC350" i="17"/>
  <c r="AC227" i="17"/>
  <c r="V547" i="17"/>
  <c r="W547" i="17" s="1"/>
  <c r="U467" i="17"/>
  <c r="Y467" i="17" s="1"/>
  <c r="U442" i="17"/>
  <c r="Y442" i="17" s="1"/>
  <c r="AC273" i="17"/>
  <c r="AB81" i="17"/>
  <c r="AC398" i="17"/>
  <c r="AC558" i="17"/>
  <c r="AC240" i="17"/>
  <c r="AC339" i="17"/>
  <c r="AC222" i="17"/>
  <c r="U613" i="17"/>
  <c r="Y613" i="17" s="1"/>
  <c r="V529" i="17"/>
  <c r="W529" i="17" s="1"/>
  <c r="U515" i="17"/>
  <c r="Y515" i="17" s="1"/>
  <c r="U451" i="17"/>
  <c r="Y451" i="17" s="1"/>
  <c r="U426" i="17"/>
  <c r="Y426" i="17" s="1"/>
  <c r="U362" i="17"/>
  <c r="Y362" i="17" s="1"/>
  <c r="U272" i="17"/>
  <c r="Y272" i="17" s="1"/>
  <c r="V606" i="17"/>
  <c r="W606" i="17" s="1"/>
  <c r="V320" i="17"/>
  <c r="W320" i="17" s="1"/>
  <c r="V610" i="17"/>
  <c r="W610" i="17" s="1"/>
  <c r="V212" i="17"/>
  <c r="W212" i="17" s="1"/>
  <c r="AC192" i="17"/>
  <c r="V552" i="17"/>
  <c r="W552" i="17" s="1"/>
  <c r="U499" i="17"/>
  <c r="Y499" i="17" s="1"/>
  <c r="U435" i="17"/>
  <c r="Y435" i="17" s="1"/>
  <c r="U474" i="17"/>
  <c r="Y474" i="17" s="1"/>
  <c r="U410" i="17"/>
  <c r="Y410" i="17" s="1"/>
  <c r="U346" i="17"/>
  <c r="Y346" i="17" s="1"/>
  <c r="V384" i="17"/>
  <c r="W384" i="17" s="1"/>
  <c r="U256" i="17"/>
  <c r="Y256" i="17" s="1"/>
  <c r="U181" i="17"/>
  <c r="Y181" i="17" s="1"/>
  <c r="U445" i="17"/>
  <c r="Y445" i="17" s="1"/>
  <c r="U576" i="17"/>
  <c r="Y576" i="17" s="1"/>
  <c r="U270" i="17"/>
  <c r="Y270" i="17" s="1"/>
  <c r="V287" i="17"/>
  <c r="W287" i="17" s="1"/>
  <c r="V333" i="17"/>
  <c r="W333" i="17" s="1"/>
  <c r="U377" i="17"/>
  <c r="Y377" i="17" s="1"/>
  <c r="U490" i="17"/>
  <c r="Y490" i="17" s="1"/>
  <c r="U165" i="17"/>
  <c r="Y165" i="17" s="1"/>
  <c r="AC111" i="17"/>
  <c r="AC168" i="17"/>
  <c r="U600" i="17"/>
  <c r="Y600" i="17" s="1"/>
  <c r="U419" i="17"/>
  <c r="Y419" i="17" s="1"/>
  <c r="U394" i="17"/>
  <c r="Y394" i="17" s="1"/>
  <c r="U330" i="17"/>
  <c r="Y330" i="17" s="1"/>
  <c r="V368" i="17"/>
  <c r="W368" i="17" s="1"/>
  <c r="U304" i="17"/>
  <c r="Y304" i="17" s="1"/>
  <c r="U240" i="17"/>
  <c r="Y240" i="17" s="1"/>
  <c r="U399" i="17"/>
  <c r="Y399" i="17" s="1"/>
  <c r="U216" i="17"/>
  <c r="Y216" i="17" s="1"/>
  <c r="U127" i="17"/>
  <c r="Y127" i="17" s="1"/>
  <c r="V288" i="17"/>
  <c r="W288" i="17" s="1"/>
  <c r="AC562" i="17"/>
  <c r="AC129" i="17"/>
  <c r="AC487" i="17"/>
  <c r="V530" i="17"/>
  <c r="W530" i="17" s="1"/>
  <c r="U506" i="17"/>
  <c r="Y506" i="17" s="1"/>
  <c r="U378" i="17"/>
  <c r="Y378" i="17" s="1"/>
  <c r="V480" i="17"/>
  <c r="W480" i="17" s="1"/>
  <c r="U485" i="17"/>
  <c r="Y485" i="17" s="1"/>
  <c r="U193" i="17"/>
  <c r="Y193" i="17" s="1"/>
  <c r="V301" i="17"/>
  <c r="W301" i="17" s="1"/>
  <c r="V174" i="17"/>
  <c r="W174" i="17" s="1"/>
  <c r="V136" i="17"/>
  <c r="W136" i="17" s="1"/>
  <c r="U458" i="17"/>
  <c r="Y458" i="17" s="1"/>
  <c r="U21" i="17"/>
  <c r="U389" i="17"/>
  <c r="Y389" i="17" s="1"/>
  <c r="U182" i="17"/>
  <c r="Y182" i="17" s="1"/>
  <c r="V325" i="17"/>
  <c r="W325" i="17" s="1"/>
  <c r="V38" i="17"/>
  <c r="W38" i="17" s="1"/>
  <c r="U587" i="17"/>
  <c r="Y587" i="17" s="1"/>
  <c r="U484" i="17"/>
  <c r="Y484" i="17" s="1"/>
  <c r="AC327" i="17"/>
  <c r="AC242" i="17"/>
  <c r="AC162" i="17"/>
  <c r="AC375" i="17"/>
  <c r="AC142" i="17"/>
  <c r="V58" i="17"/>
  <c r="W58" i="17" s="1"/>
  <c r="U552" i="17"/>
  <c r="Y552" i="17" s="1"/>
  <c r="U287" i="17"/>
  <c r="Y287" i="17" s="1"/>
  <c r="U599" i="17"/>
  <c r="Y599" i="17" s="1"/>
  <c r="V394" i="17"/>
  <c r="W394" i="17" s="1"/>
  <c r="V612" i="17"/>
  <c r="W612" i="17" s="1"/>
  <c r="U534" i="17"/>
  <c r="Y534" i="17" s="1"/>
  <c r="U430" i="17"/>
  <c r="Y430" i="17" s="1"/>
  <c r="U25" i="17"/>
  <c r="Y25" i="17" s="1"/>
  <c r="U385" i="17"/>
  <c r="Y385" i="17" s="1"/>
  <c r="U597" i="17"/>
  <c r="Y597" i="17" s="1"/>
  <c r="V110" i="17"/>
  <c r="W110" i="17" s="1"/>
  <c r="V277" i="17"/>
  <c r="W277" i="17" s="1"/>
  <c r="U405" i="17"/>
  <c r="Y405" i="17" s="1"/>
  <c r="U156" i="17"/>
  <c r="Y156" i="17" s="1"/>
  <c r="U525" i="17"/>
  <c r="Y525" i="17" s="1"/>
  <c r="U99" i="17"/>
  <c r="Y99" i="17" s="1"/>
  <c r="V311" i="17"/>
  <c r="W311" i="17" s="1"/>
  <c r="V527" i="17"/>
  <c r="W527" i="17" s="1"/>
  <c r="U88" i="17"/>
  <c r="Y88" i="17" s="1"/>
  <c r="U62" i="17"/>
  <c r="Y62" i="17" s="1"/>
  <c r="U163" i="17"/>
  <c r="Y163" i="17" s="1"/>
  <c r="U157" i="17"/>
  <c r="Y157" i="17" s="1"/>
  <c r="U602" i="17"/>
  <c r="Y602" i="17" s="1"/>
  <c r="U23" i="17"/>
  <c r="Y23" i="17" s="1"/>
  <c r="V402" i="17"/>
  <c r="W402" i="17" s="1"/>
  <c r="U428" i="17"/>
  <c r="Y428" i="17" s="1"/>
  <c r="U263" i="17"/>
  <c r="Y263" i="17" s="1"/>
  <c r="U59" i="17"/>
  <c r="Y59" i="17" s="1"/>
  <c r="U351" i="17"/>
  <c r="Y351" i="17" s="1"/>
  <c r="U471" i="17"/>
  <c r="Y471" i="17" s="1"/>
  <c r="U446" i="17"/>
  <c r="Y446" i="17" s="1"/>
  <c r="U41" i="17"/>
  <c r="Y41" i="17" s="1"/>
  <c r="U119" i="17"/>
  <c r="Y119" i="17" s="1"/>
  <c r="V293" i="17"/>
  <c r="W293" i="17" s="1"/>
  <c r="U334" i="17"/>
  <c r="Y334" i="17" s="1"/>
  <c r="U249" i="17"/>
  <c r="Y249" i="17" s="1"/>
  <c r="U538" i="17"/>
  <c r="Y538" i="17" s="1"/>
  <c r="U379" i="17"/>
  <c r="Y379" i="17" s="1"/>
  <c r="U364" i="17"/>
  <c r="Y364" i="17" s="1"/>
  <c r="V580" i="17"/>
  <c r="W580" i="17" s="1"/>
  <c r="U269" i="17"/>
  <c r="Y269" i="17" s="1"/>
  <c r="U611" i="17"/>
  <c r="Y611" i="17" s="1"/>
  <c r="U257" i="17"/>
  <c r="Y257" i="17" s="1"/>
  <c r="U177" i="17"/>
  <c r="Y177" i="17" s="1"/>
  <c r="U295" i="17"/>
  <c r="Y295" i="17" s="1"/>
  <c r="U141" i="17"/>
  <c r="Y141" i="17" s="1"/>
  <c r="U605" i="17"/>
  <c r="Y605" i="17" s="1"/>
  <c r="U365" i="17"/>
  <c r="Y365" i="17" s="1"/>
  <c r="U345" i="17"/>
  <c r="Y345" i="17" s="1"/>
  <c r="U488" i="17"/>
  <c r="Y488" i="17" s="1"/>
  <c r="V16" i="17"/>
  <c r="W16" i="17" s="1"/>
  <c r="U336" i="17"/>
  <c r="Y336" i="17" s="1"/>
  <c r="U55" i="17"/>
  <c r="Y55" i="17" s="1"/>
  <c r="U361" i="17"/>
  <c r="Y361" i="17" s="1"/>
  <c r="U219" i="17"/>
  <c r="Y219" i="17" s="1"/>
  <c r="V386" i="17"/>
  <c r="W386" i="17" s="1"/>
  <c r="U63" i="17"/>
  <c r="Y63" i="17" s="1"/>
  <c r="U48" i="17"/>
  <c r="Y48" i="17" s="1"/>
  <c r="U68" i="17"/>
  <c r="Y68" i="17" s="1"/>
  <c r="U202" i="17"/>
  <c r="Y202" i="17" s="1"/>
  <c r="V167" i="17"/>
  <c r="W167" i="17" s="1"/>
  <c r="U79" i="17"/>
  <c r="Y79" i="17" s="1"/>
  <c r="U44" i="17"/>
  <c r="Y44" i="17" s="1"/>
  <c r="U70" i="17"/>
  <c r="Y70" i="17" s="1"/>
  <c r="V191" i="17"/>
  <c r="W191" i="17" s="1"/>
  <c r="V426" i="17"/>
  <c r="W426" i="17" s="1"/>
  <c r="U423" i="17"/>
  <c r="U113" i="17"/>
  <c r="Y113" i="17" s="1"/>
  <c r="V161" i="17"/>
  <c r="W161" i="17" s="1"/>
  <c r="U326" i="17"/>
  <c r="Y326" i="17" s="1"/>
  <c r="U531" i="17"/>
  <c r="Y531" i="17" s="1"/>
  <c r="U533" i="17"/>
  <c r="Y533" i="17" s="1"/>
  <c r="V509" i="17"/>
  <c r="W509" i="17" s="1"/>
  <c r="V381" i="17"/>
  <c r="W381" i="17" s="1"/>
  <c r="U188" i="17"/>
  <c r="V316" i="17"/>
  <c r="W316" i="17" s="1"/>
  <c r="U329" i="17"/>
  <c r="Y329" i="17" s="1"/>
  <c r="U392" i="17"/>
  <c r="Y392" i="17" s="1"/>
  <c r="V82" i="17"/>
  <c r="W82" i="17" s="1"/>
  <c r="U255" i="17"/>
  <c r="Y255" i="17" s="1"/>
  <c r="U40" i="17"/>
  <c r="Y40" i="17" s="1"/>
  <c r="U282" i="17"/>
  <c r="Y282" i="17" s="1"/>
  <c r="U215" i="17"/>
  <c r="Y215" i="17" s="1"/>
  <c r="U98" i="17"/>
  <c r="Y98" i="17" s="1"/>
  <c r="U19" i="17"/>
  <c r="Y19" i="17" s="1"/>
  <c r="V608" i="17"/>
  <c r="W608" i="17" s="1"/>
  <c r="U31" i="17"/>
  <c r="Y31" i="17" s="1"/>
  <c r="U24" i="17"/>
  <c r="Y24" i="17" s="1"/>
  <c r="U210" i="17"/>
  <c r="Y210" i="17" s="1"/>
  <c r="U76" i="17"/>
  <c r="Y76" i="17" s="1"/>
  <c r="U186" i="17"/>
  <c r="Y186" i="17" s="1"/>
  <c r="U166" i="17"/>
  <c r="Y166" i="17" s="1"/>
  <c r="U372" i="17"/>
  <c r="Y372" i="17" s="1"/>
  <c r="U414" i="17"/>
  <c r="Y414" i="17" s="1"/>
  <c r="U16" i="17"/>
  <c r="Y16" i="17" s="1"/>
  <c r="U401" i="17"/>
  <c r="Y401" i="17" s="1"/>
  <c r="U325" i="17"/>
  <c r="Y325" i="17" s="1"/>
  <c r="U153" i="17"/>
  <c r="Y153" i="17" s="1"/>
  <c r="V332" i="17"/>
  <c r="W332" i="17" s="1"/>
  <c r="U566" i="17"/>
  <c r="Y566" i="17" s="1"/>
  <c r="V39" i="17"/>
  <c r="W39" i="17" s="1"/>
  <c r="U196" i="17"/>
  <c r="Y196" i="17" s="1"/>
  <c r="U247" i="17"/>
  <c r="Y247" i="17" s="1"/>
  <c r="U58" i="17"/>
  <c r="Y58" i="17" s="1"/>
  <c r="U343" i="17"/>
  <c r="Y343" i="17" s="1"/>
  <c r="U356" i="17"/>
  <c r="Y356" i="17" s="1"/>
  <c r="U32" i="17"/>
  <c r="Y32" i="17" s="1"/>
  <c r="V554" i="17"/>
  <c r="W554" i="17" s="1"/>
  <c r="U310" i="17"/>
  <c r="Y310" i="17" s="1"/>
  <c r="V575" i="17"/>
  <c r="W575" i="17" s="1"/>
  <c r="U542" i="17"/>
  <c r="Y542" i="17" s="1"/>
  <c r="U374" i="17"/>
  <c r="Y374" i="17" s="1"/>
  <c r="U128" i="17"/>
  <c r="Y128" i="17" s="1"/>
  <c r="U386" i="17"/>
  <c r="Y386" i="17" s="1"/>
  <c r="U333" i="17"/>
  <c r="Y333" i="17" s="1"/>
  <c r="U400" i="17"/>
  <c r="Y400" i="17" s="1"/>
  <c r="V55" i="17"/>
  <c r="W55" i="17" s="1"/>
  <c r="V285" i="17"/>
  <c r="W285" i="17" s="1"/>
  <c r="U380" i="17"/>
  <c r="Y380" i="17" s="1"/>
  <c r="U594" i="17"/>
  <c r="Y594" i="17" s="1"/>
  <c r="U237" i="17"/>
  <c r="Y237" i="17" s="1"/>
  <c r="U77" i="17"/>
  <c r="Y77" i="17" s="1"/>
  <c r="U161" i="17"/>
  <c r="Y161" i="17" s="1"/>
  <c r="U65" i="17"/>
  <c r="Y65" i="17" s="1"/>
  <c r="U592" i="17"/>
  <c r="Y592" i="17" s="1"/>
  <c r="U151" i="17"/>
  <c r="Y151" i="17" s="1"/>
  <c r="U543" i="17"/>
  <c r="Y543" i="17" s="1"/>
  <c r="U124" i="17"/>
  <c r="Y124" i="17" s="1"/>
  <c r="U42" i="17"/>
  <c r="Y42" i="17" s="1"/>
  <c r="U231" i="17"/>
  <c r="Y231" i="17" s="1"/>
  <c r="U94" i="17"/>
  <c r="Y94" i="17" s="1"/>
  <c r="U340" i="17"/>
  <c r="Y340" i="17" s="1"/>
  <c r="U609" i="17"/>
  <c r="Y609" i="17" s="1"/>
  <c r="U243" i="17"/>
  <c r="Y243" i="17" s="1"/>
  <c r="U478" i="17"/>
  <c r="Y478" i="17" s="1"/>
  <c r="AC290" i="17"/>
  <c r="AC183" i="17"/>
  <c r="AC213" i="17"/>
  <c r="AC567" i="17"/>
  <c r="AC284" i="17"/>
  <c r="U207" i="17"/>
  <c r="Y207" i="17" s="1"/>
  <c r="U347" i="17"/>
  <c r="Y347" i="17" s="1"/>
  <c r="U421" i="17"/>
  <c r="Y421" i="17" s="1"/>
  <c r="U87" i="17"/>
  <c r="U323" i="17"/>
  <c r="Y323" i="17" s="1"/>
  <c r="U50" i="17"/>
  <c r="Y50" i="17" s="1"/>
  <c r="U520" i="17"/>
  <c r="Y520" i="17" s="1"/>
  <c r="U579" i="17"/>
  <c r="U239" i="17"/>
  <c r="Y239" i="17" s="1"/>
  <c r="U39" i="17"/>
  <c r="Y39" i="17" s="1"/>
  <c r="U371" i="17"/>
  <c r="Y371" i="17" s="1"/>
  <c r="V378" i="17"/>
  <c r="W378" i="17" s="1"/>
  <c r="V602" i="17"/>
  <c r="W602" i="17" s="1"/>
  <c r="U38" i="17"/>
  <c r="Y38" i="17" s="1"/>
  <c r="V255" i="17"/>
  <c r="W255" i="17" s="1"/>
  <c r="U211" i="17"/>
  <c r="Y211" i="17" s="1"/>
  <c r="U262" i="17"/>
  <c r="Y262" i="17" s="1"/>
  <c r="U461" i="17"/>
  <c r="Y461" i="17" s="1"/>
  <c r="V572" i="17"/>
  <c r="W572" i="17" s="1"/>
  <c r="U321" i="17"/>
  <c r="Y321" i="17" s="1"/>
  <c r="U277" i="17"/>
  <c r="Y277" i="17" s="1"/>
  <c r="U200" i="17"/>
  <c r="Y200" i="17" s="1"/>
  <c r="V328" i="17"/>
  <c r="W328" i="17" s="1"/>
  <c r="U544" i="17"/>
  <c r="Y544" i="17" s="1"/>
  <c r="U550" i="17"/>
  <c r="Y550" i="17" s="1"/>
  <c r="V477" i="17"/>
  <c r="W477" i="17" s="1"/>
  <c r="V349" i="17"/>
  <c r="W349" i="17" s="1"/>
  <c r="U69" i="17"/>
  <c r="U169" i="17"/>
  <c r="Y169" i="17" s="1"/>
  <c r="U297" i="17"/>
  <c r="Y297" i="17" s="1"/>
  <c r="U220" i="17"/>
  <c r="Y220" i="17" s="1"/>
  <c r="U561" i="17"/>
  <c r="Y561" i="17" s="1"/>
  <c r="V169" i="17"/>
  <c r="W169" i="17" s="1"/>
  <c r="U456" i="17"/>
  <c r="Y456" i="17" s="1"/>
  <c r="V13" i="17"/>
  <c r="W13" i="17" s="1"/>
  <c r="U306" i="17"/>
  <c r="U52" i="17"/>
  <c r="Y52" i="17" s="1"/>
  <c r="U74" i="17"/>
  <c r="Y74" i="17" s="1"/>
  <c r="U139" i="17"/>
  <c r="Y139" i="17" s="1"/>
  <c r="U162" i="17"/>
  <c r="Y162" i="17" s="1"/>
  <c r="U75" i="17"/>
  <c r="Y75" i="17" s="1"/>
  <c r="U335" i="17"/>
  <c r="Y335" i="17" s="1"/>
  <c r="U291" i="17"/>
  <c r="Y291" i="17" s="1"/>
  <c r="U562" i="17"/>
  <c r="U572" i="17"/>
  <c r="Y572" i="17" s="1"/>
  <c r="U454" i="17"/>
  <c r="Y454" i="17" s="1"/>
  <c r="U112" i="17"/>
  <c r="Y112" i="17" s="1"/>
  <c r="U417" i="17"/>
  <c r="V18" i="17"/>
  <c r="W18" i="17" s="1"/>
  <c r="U138" i="17"/>
  <c r="Y138" i="17" s="1"/>
  <c r="U206" i="17"/>
  <c r="Y206" i="17" s="1"/>
  <c r="U452" i="17"/>
  <c r="Y452" i="17" s="1"/>
  <c r="U460" i="17"/>
  <c r="Y460" i="17" s="1"/>
  <c r="U179" i="17"/>
  <c r="Y179" i="17" s="1"/>
  <c r="U230" i="17"/>
  <c r="U583" i="17"/>
  <c r="U537" i="17"/>
  <c r="Y537" i="17" s="1"/>
  <c r="U133" i="17"/>
  <c r="Y133" i="17" s="1"/>
  <c r="U261" i="17"/>
  <c r="Y261" i="17" s="1"/>
  <c r="U184" i="17"/>
  <c r="U312" i="17"/>
  <c r="Y312" i="17" s="1"/>
  <c r="U408" i="17"/>
  <c r="Y408" i="17" s="1"/>
  <c r="V493" i="17"/>
  <c r="W493" i="17" s="1"/>
  <c r="U53" i="17"/>
  <c r="Y53" i="17" s="1"/>
  <c r="U357" i="17"/>
  <c r="Y357" i="17" s="1"/>
  <c r="U313" i="17"/>
  <c r="Y313" i="17" s="1"/>
  <c r="U411" i="17"/>
  <c r="Y411" i="17" s="1"/>
  <c r="U427" i="17"/>
  <c r="V96" i="17"/>
  <c r="W96" i="17" s="1"/>
  <c r="V234" i="17"/>
  <c r="W234" i="17" s="1"/>
  <c r="V253" i="17"/>
  <c r="W253" i="17" s="1"/>
  <c r="U209" i="17"/>
  <c r="U260" i="17"/>
  <c r="Y260" i="17" s="1"/>
  <c r="U457" i="17"/>
  <c r="Y457" i="17" s="1"/>
  <c r="V460" i="17"/>
  <c r="W460" i="17" s="1"/>
  <c r="U298" i="17"/>
  <c r="U171" i="17"/>
  <c r="Y171" i="17" s="1"/>
  <c r="U339" i="17"/>
  <c r="Y339" i="17" s="1"/>
  <c r="U557" i="17"/>
  <c r="Y557" i="17" s="1"/>
  <c r="V607" i="17"/>
  <c r="W607" i="17" s="1"/>
  <c r="U449" i="17"/>
  <c r="Y449" i="17" s="1"/>
  <c r="U507" i="17"/>
  <c r="Y507" i="17" s="1"/>
  <c r="U109" i="17"/>
  <c r="Y109" i="17" s="1"/>
  <c r="U129" i="17"/>
  <c r="U425" i="17"/>
  <c r="Y425" i="17" s="1"/>
  <c r="U93" i="17"/>
  <c r="Y93" i="17" s="1"/>
  <c r="U577" i="17"/>
  <c r="Y577" i="17" s="1"/>
  <c r="U535" i="17"/>
  <c r="U222" i="17"/>
  <c r="Y222" i="17" s="1"/>
  <c r="U71" i="17"/>
  <c r="Y71" i="17" s="1"/>
  <c r="V479" i="17"/>
  <c r="W479" i="17" s="1"/>
  <c r="U429" i="17"/>
  <c r="Y429" i="17" s="1"/>
  <c r="U424" i="17"/>
  <c r="Y424" i="17" s="1"/>
  <c r="V538" i="17"/>
  <c r="W538" i="17" s="1"/>
  <c r="U13" i="17"/>
  <c r="Y13" i="17" s="1"/>
  <c r="U225" i="17"/>
  <c r="Y225" i="17" s="1"/>
  <c r="V532" i="17"/>
  <c r="W532" i="17" s="1"/>
  <c r="U158" i="17"/>
  <c r="Y158" i="17" s="1"/>
  <c r="U438" i="17"/>
  <c r="Y438" i="17" s="1"/>
  <c r="U160" i="17"/>
  <c r="Y160" i="17" s="1"/>
  <c r="AC384" i="17"/>
  <c r="AB419" i="17"/>
  <c r="AB600" i="17"/>
  <c r="AC552" i="17"/>
  <c r="AC400" i="17"/>
  <c r="W13" i="27"/>
  <c r="X57" i="27"/>
  <c r="W57" i="27"/>
  <c r="X61" i="27"/>
  <c r="W61" i="27"/>
  <c r="X65" i="27"/>
  <c r="W65" i="27"/>
  <c r="X68" i="27"/>
  <c r="W68" i="27"/>
  <c r="W51" i="27"/>
  <c r="W17" i="27"/>
  <c r="AC592" i="17"/>
  <c r="AC516" i="17"/>
  <c r="AC138" i="17"/>
  <c r="AB36" i="17"/>
  <c r="AB110" i="17"/>
  <c r="AC467" i="17"/>
  <c r="AC45" i="17"/>
  <c r="AC40" i="17"/>
  <c r="AB221" i="17"/>
  <c r="AB151" i="17"/>
  <c r="AB209" i="17"/>
  <c r="AC217" i="17"/>
  <c r="AB435" i="17"/>
  <c r="AB350" i="17"/>
  <c r="AC429" i="17"/>
  <c r="AB402" i="17"/>
  <c r="AB147" i="17"/>
  <c r="AC482" i="17"/>
  <c r="AC355" i="17"/>
  <c r="AC393" i="17"/>
  <c r="AB128" i="17"/>
  <c r="AB196" i="17"/>
  <c r="AC306" i="17"/>
  <c r="AB138" i="17"/>
  <c r="AB217" i="17"/>
  <c r="AB572" i="17"/>
  <c r="AB43" i="17"/>
  <c r="AC423" i="17"/>
  <c r="AB560" i="17"/>
  <c r="AC283" i="17"/>
  <c r="AC19" i="17"/>
  <c r="AC362" i="17"/>
  <c r="AC233" i="17"/>
  <c r="AB79" i="17"/>
  <c r="AB477" i="17"/>
  <c r="AB505" i="17"/>
  <c r="AB401" i="17"/>
  <c r="AC455" i="17"/>
  <c r="AB321" i="17"/>
  <c r="AC224" i="17"/>
  <c r="AB423" i="17"/>
  <c r="AB364" i="17"/>
  <c r="AC342" i="17"/>
  <c r="AB172" i="17"/>
  <c r="AC84" i="17"/>
  <c r="AB225" i="17"/>
  <c r="AC434" i="17"/>
  <c r="AC549" i="17"/>
  <c r="AB407" i="17"/>
  <c r="AB417" i="17"/>
  <c r="AC483" i="17"/>
  <c r="AB208" i="17"/>
  <c r="AB323" i="17"/>
  <c r="AC479" i="17"/>
  <c r="AC98" i="17"/>
  <c r="AB391" i="17"/>
  <c r="AB135" i="17"/>
  <c r="AB478" i="17"/>
  <c r="AC433" i="17"/>
  <c r="AC507" i="17"/>
  <c r="AB584" i="17"/>
  <c r="AB70" i="17"/>
  <c r="AC331" i="17"/>
  <c r="AB465" i="17"/>
  <c r="AB539" i="17"/>
  <c r="AC200" i="17"/>
  <c r="AC275" i="17"/>
  <c r="AB235" i="17"/>
  <c r="AB552" i="17"/>
  <c r="AB304" i="17"/>
  <c r="AB74" i="17"/>
  <c r="AB161" i="17"/>
  <c r="AC49" i="17"/>
  <c r="AB312" i="17"/>
  <c r="AB499" i="17"/>
  <c r="AB277" i="17"/>
  <c r="AC565" i="17"/>
  <c r="AB56" i="17"/>
  <c r="AC62" i="17"/>
  <c r="AC488" i="17"/>
  <c r="AC104" i="17"/>
  <c r="AB579" i="17"/>
  <c r="AB311" i="17"/>
  <c r="AC504" i="17"/>
  <c r="AB40" i="17"/>
  <c r="AC518" i="17"/>
  <c r="AB140" i="17"/>
  <c r="AC99" i="17"/>
  <c r="AB120" i="17"/>
  <c r="AC252" i="17"/>
  <c r="AB122" i="17"/>
  <c r="AC25" i="17"/>
  <c r="AB371" i="17"/>
  <c r="AC230" i="17"/>
  <c r="AB237" i="17"/>
  <c r="AB116" i="17"/>
  <c r="AC103" i="17"/>
  <c r="AB356" i="17"/>
  <c r="AB306" i="17"/>
  <c r="AC178" i="17"/>
  <c r="AC376" i="17"/>
  <c r="AC81" i="17"/>
  <c r="AB555" i="17"/>
  <c r="AC295" i="17"/>
  <c r="AB283" i="17"/>
  <c r="AC130" i="17"/>
  <c r="AC167" i="17"/>
  <c r="AC37" i="17"/>
  <c r="AB95" i="17"/>
  <c r="AB73" i="17"/>
  <c r="AB422" i="17"/>
  <c r="AC354" i="17"/>
  <c r="AC431" i="17"/>
  <c r="AB152" i="17"/>
  <c r="AC156" i="17"/>
  <c r="AC144" i="17"/>
  <c r="AB344" i="17"/>
  <c r="AB191" i="17"/>
  <c r="AC513" i="17"/>
  <c r="AB124" i="17"/>
  <c r="AC561" i="17"/>
  <c r="AB438" i="17"/>
  <c r="AB68" i="17"/>
  <c r="AC302" i="17"/>
  <c r="AB454" i="17"/>
  <c r="AB244" i="17"/>
  <c r="AB179" i="17"/>
  <c r="AC460" i="17"/>
  <c r="AC169" i="17"/>
  <c r="AC127" i="17"/>
  <c r="AB487" i="17"/>
  <c r="AC184" i="17"/>
  <c r="AC57" i="17"/>
  <c r="AC445" i="17"/>
  <c r="AB242" i="17"/>
  <c r="AC80" i="17"/>
  <c r="AC51" i="17"/>
  <c r="AC237" i="17"/>
  <c r="AB567" i="17"/>
  <c r="AB213" i="17"/>
  <c r="AC526" i="17"/>
  <c r="AB355" i="17"/>
  <c r="AB497" i="17"/>
  <c r="AC315" i="17"/>
  <c r="AB500" i="17"/>
  <c r="AB569" i="17"/>
  <c r="AC236" i="17"/>
  <c r="AC441" i="17"/>
  <c r="AB610" i="17"/>
  <c r="AB398" i="17"/>
  <c r="AC44" i="17"/>
  <c r="AC472" i="17"/>
  <c r="AC401" i="17"/>
  <c r="AC196" i="17"/>
  <c r="AC463" i="17"/>
  <c r="AB289" i="17"/>
  <c r="AC484" i="17"/>
  <c r="AB393" i="17"/>
  <c r="AB503" i="17"/>
  <c r="AB86" i="17"/>
  <c r="AB440" i="17"/>
  <c r="AC466" i="17"/>
  <c r="AB348" i="17"/>
  <c r="AC74" i="17"/>
  <c r="AB541" i="17"/>
  <c r="AC235" i="17"/>
  <c r="W235" i="17"/>
  <c r="AB300" i="17"/>
  <c r="AB123" i="17"/>
  <c r="AB314" i="17"/>
  <c r="AB212" i="17"/>
  <c r="AB612" i="17"/>
  <c r="AB381" i="17"/>
  <c r="AB320" i="17"/>
  <c r="AC269" i="17"/>
  <c r="AB494" i="17"/>
  <c r="AC263" i="17"/>
  <c r="AB385" i="17"/>
  <c r="AB333" i="17"/>
  <c r="AC298" i="17"/>
  <c r="AB535" i="17"/>
  <c r="AC500" i="17"/>
  <c r="AB394" i="17"/>
  <c r="AB580" i="17"/>
  <c r="AB252" i="17"/>
  <c r="AC422" i="17"/>
  <c r="AB182" i="17"/>
  <c r="AC459" i="17"/>
  <c r="AC495" i="17"/>
  <c r="AC164" i="17"/>
  <c r="AC214" i="17"/>
  <c r="AC22" i="17"/>
  <c r="AC21" i="17"/>
  <c r="AC361" i="17"/>
  <c r="AB199" i="17"/>
  <c r="AB240" i="17"/>
  <c r="AB295" i="17"/>
  <c r="AB166" i="17"/>
  <c r="AB561" i="17"/>
  <c r="AB315" i="17"/>
  <c r="AC323" i="17"/>
  <c r="AB316" i="17"/>
  <c r="AB265" i="17"/>
  <c r="AC32" i="17"/>
  <c r="AC31" i="17"/>
  <c r="AC135" i="17"/>
  <c r="AB443" i="17"/>
  <c r="AC146" i="17"/>
  <c r="AC314" i="17"/>
  <c r="AB268" i="17"/>
  <c r="AB502" i="17"/>
  <c r="AC93" i="17"/>
  <c r="AC281" i="17"/>
  <c r="AB274" i="17"/>
  <c r="AB573" i="17"/>
  <c r="AB132" i="17"/>
  <c r="AC559" i="17"/>
  <c r="AB433" i="17"/>
  <c r="AC54" i="17"/>
  <c r="AB14" i="17"/>
  <c r="AC345" i="17"/>
  <c r="AC114" i="17"/>
  <c r="AC411" i="17"/>
  <c r="AC346" i="17"/>
  <c r="AC494" i="17"/>
  <c r="AB236" i="17"/>
  <c r="AC570" i="17"/>
  <c r="AB174" i="17"/>
  <c r="AC359" i="17"/>
  <c r="AC102" i="17"/>
  <c r="AB15" i="17"/>
  <c r="AC63" i="17"/>
  <c r="AC250" i="17"/>
  <c r="AC347" i="17"/>
  <c r="AC597" i="17"/>
  <c r="AB338" i="17"/>
  <c r="AB204" i="17"/>
  <c r="AC372" i="17"/>
  <c r="AC512" i="17"/>
  <c r="AC490" i="17"/>
  <c r="AC560" i="17"/>
  <c r="AB49" i="17"/>
  <c r="AC453" i="17"/>
  <c r="AC97" i="17"/>
  <c r="AC344" i="17"/>
  <c r="AB234" i="17"/>
  <c r="AC581" i="17"/>
  <c r="AC189" i="17"/>
  <c r="AC266" i="17"/>
  <c r="AB521" i="17"/>
  <c r="AC497" i="17"/>
  <c r="AC292" i="17"/>
  <c r="AB115" i="17"/>
  <c r="AC75" i="17"/>
  <c r="AB167" i="17"/>
  <c r="AB82" i="17"/>
  <c r="AC335" i="17"/>
  <c r="AC503" i="17"/>
  <c r="AB278" i="17"/>
  <c r="AB352" i="17"/>
  <c r="AC535" i="17"/>
  <c r="AB593" i="17"/>
  <c r="AB330" i="17"/>
  <c r="AC529" i="17"/>
  <c r="AB354" i="17"/>
  <c r="AC605" i="17"/>
  <c r="AB290" i="17"/>
  <c r="W131" i="17"/>
  <c r="AC131" i="17"/>
  <c r="AC26" i="17"/>
  <c r="AB35" i="17"/>
  <c r="AB623" i="17"/>
  <c r="AB102" i="17"/>
  <c r="AC415" i="17"/>
  <c r="AB590" i="17"/>
  <c r="AB267" i="17"/>
  <c r="AB190" i="17"/>
  <c r="AC318" i="17"/>
  <c r="AB472" i="17"/>
  <c r="AC498" i="17"/>
  <c r="AB281" i="17"/>
  <c r="AB256" i="17"/>
  <c r="AB410" i="17"/>
  <c r="AC444" i="17"/>
  <c r="AB144" i="17"/>
  <c r="AB130" i="17"/>
  <c r="AC305" i="17"/>
  <c r="AC137" i="17"/>
  <c r="AC397" i="17"/>
  <c r="AC163" i="17"/>
  <c r="AC34" i="17"/>
  <c r="AC299" i="17"/>
  <c r="AB137" i="17"/>
  <c r="AC68" i="17"/>
  <c r="AB114" i="17"/>
  <c r="AB121" i="17"/>
  <c r="AB455" i="17"/>
  <c r="AC147" i="17"/>
  <c r="AB173" i="17"/>
  <c r="AB159" i="17"/>
  <c r="AC50" i="17"/>
  <c r="AC517" i="17"/>
  <c r="AC312" i="17"/>
  <c r="AC90" i="17"/>
  <c r="AC219" i="17"/>
  <c r="AC264" i="17"/>
  <c r="AC208" i="17"/>
  <c r="AC334" i="17"/>
  <c r="AB90" i="17"/>
  <c r="AB475" i="17"/>
  <c r="AC546" i="17"/>
  <c r="AB366" i="17"/>
  <c r="AC449" i="17"/>
  <c r="AC244" i="17"/>
  <c r="AB517" i="17"/>
  <c r="AC108" i="17"/>
  <c r="AC116" i="17"/>
  <c r="AC489" i="17"/>
  <c r="AC229" i="17"/>
  <c r="AC380" i="17"/>
  <c r="AC276" i="17"/>
  <c r="AC446" i="17"/>
  <c r="AC547" i="17"/>
  <c r="AC418" i="17"/>
  <c r="AC297" i="17"/>
  <c r="AB599" i="17"/>
  <c r="AC257" i="17"/>
  <c r="AC577" i="17"/>
  <c r="AB585" i="17"/>
  <c r="AC438" i="17"/>
  <c r="AB380" i="17"/>
  <c r="AB45" i="17"/>
  <c r="AB387" i="17"/>
  <c r="AC308" i="17"/>
  <c r="AC369" i="17"/>
  <c r="AC607" i="17"/>
  <c r="AC201" i="17"/>
  <c r="AC172" i="17"/>
  <c r="AC419" i="17"/>
  <c r="AB233" i="17"/>
  <c r="AB389" i="17"/>
  <c r="AB38" i="17"/>
  <c r="AC404" i="17"/>
  <c r="AB414" i="17"/>
  <c r="AC96" i="17"/>
  <c r="AB169" i="17"/>
  <c r="AB171" i="17"/>
  <c r="AB526" i="17"/>
  <c r="AB145" i="17"/>
  <c r="AC485" i="17"/>
  <c r="AB586" i="17"/>
  <c r="AB301" i="17"/>
  <c r="AC14" i="17"/>
  <c r="AB568" i="17"/>
  <c r="AB195" i="17"/>
  <c r="AB528" i="17"/>
  <c r="AB470" i="17"/>
  <c r="AB67" i="17"/>
  <c r="AB463" i="17"/>
  <c r="AB27" i="17"/>
  <c r="AC209" i="17"/>
  <c r="AB224" i="17"/>
  <c r="AC574" i="17"/>
  <c r="AB481" i="17"/>
  <c r="AB34" i="17"/>
  <c r="AB197" i="17"/>
  <c r="AC239" i="17"/>
  <c r="AB415" i="17"/>
  <c r="AB546" i="17"/>
  <c r="AB530" i="17"/>
  <c r="AC430" i="17"/>
  <c r="AC358" i="17"/>
  <c r="AB168" i="17"/>
  <c r="AC583" i="17"/>
  <c r="AB146" i="17"/>
  <c r="AB431" i="17"/>
  <c r="AB588" i="17"/>
  <c r="AC440" i="17"/>
  <c r="AC388" i="17"/>
  <c r="AC610" i="17"/>
  <c r="AC540" i="17"/>
  <c r="AC215" i="17"/>
  <c r="AB37" i="17"/>
  <c r="AB523" i="17"/>
  <c r="AC85" i="17"/>
  <c r="AB72" i="17"/>
  <c r="AC248" i="17"/>
  <c r="AB108" i="17"/>
  <c r="AB29" i="17"/>
  <c r="AB441" i="17"/>
  <c r="AC550" i="17"/>
  <c r="AC515" i="17"/>
  <c r="AB571" i="17"/>
  <c r="AC126" i="17"/>
  <c r="AC187" i="17"/>
  <c r="AB493" i="17"/>
  <c r="AC121" i="17"/>
  <c r="AB403" i="17"/>
  <c r="AC109" i="17"/>
  <c r="AC52" i="17"/>
  <c r="AB232" i="17"/>
  <c r="AC204" i="17"/>
  <c r="AC309" i="17"/>
  <c r="AB482" i="17"/>
  <c r="AB218" i="17"/>
  <c r="AC586" i="17"/>
  <c r="AC72" i="17"/>
  <c r="AB279" i="17"/>
  <c r="AB343" i="17"/>
  <c r="AB604" i="17"/>
  <c r="AC78" i="17"/>
  <c r="AB59" i="17"/>
  <c r="AC481" i="17"/>
  <c r="AC88" i="17"/>
  <c r="AC576" i="17"/>
  <c r="AB601" i="17"/>
  <c r="AC611" i="17"/>
  <c r="AB239" i="17"/>
  <c r="AB373" i="17"/>
  <c r="AB388" i="17"/>
  <c r="AB334" i="17"/>
  <c r="AC492" i="17"/>
  <c r="AC509" i="17"/>
  <c r="AB92" i="17"/>
  <c r="AB75" i="17"/>
  <c r="AB400" i="17"/>
  <c r="AB317" i="17"/>
  <c r="AB260" i="17"/>
  <c r="AB395" i="17"/>
  <c r="AB529" i="17"/>
  <c r="AC226" i="17"/>
  <c r="AC197" i="17"/>
  <c r="AB180" i="17"/>
  <c r="AC348" i="17"/>
  <c r="AB508" i="17"/>
  <c r="AB322" i="17"/>
  <c r="AB294" i="17"/>
  <c r="AB359" i="17"/>
  <c r="AC165" i="17"/>
  <c r="AB420" i="17"/>
  <c r="AB248" i="17"/>
  <c r="AB390" i="17"/>
  <c r="AC176" i="17"/>
  <c r="AC159" i="17"/>
  <c r="AC133" i="17"/>
  <c r="AB136" i="17"/>
  <c r="AB284" i="17"/>
  <c r="AB358" i="17"/>
  <c r="AC541" i="17"/>
  <c r="AB512" i="17"/>
  <c r="AC416" i="17"/>
  <c r="AC313" i="17"/>
  <c r="AC179" i="17"/>
  <c r="AB100" i="17"/>
  <c r="AC105" i="17"/>
  <c r="AC324" i="17"/>
  <c r="AB498" i="17"/>
  <c r="AB516" i="17"/>
  <c r="AC125" i="17"/>
  <c r="AC202" i="17"/>
  <c r="AB459" i="17"/>
  <c r="AB349" i="17"/>
  <c r="AB489" i="17"/>
  <c r="AC604" i="17"/>
  <c r="AB198" i="17"/>
  <c r="AB432" i="17"/>
  <c r="AC506" i="17"/>
  <c r="AB598" i="17"/>
  <c r="AB241" i="17"/>
  <c r="AB506" i="17"/>
  <c r="AB303" i="17"/>
  <c r="AC387" i="17"/>
  <c r="AC185" i="17"/>
  <c r="AC128" i="17"/>
  <c r="AC351" i="17"/>
  <c r="AB575" i="17"/>
  <c r="AB126" i="17"/>
  <c r="AB254" i="17"/>
  <c r="AC392" i="17"/>
  <c r="AB412" i="17"/>
  <c r="AB258" i="17"/>
  <c r="AC113" i="17"/>
  <c r="AB447" i="17"/>
  <c r="AB251" i="17"/>
  <c r="AB551" i="17"/>
  <c r="AC193" i="17"/>
  <c r="AC198" i="17"/>
  <c r="AB532" i="17"/>
  <c r="AB64" i="17"/>
  <c r="AB97" i="17"/>
  <c r="AB155" i="17"/>
  <c r="AB20" i="17"/>
  <c r="AC73" i="17"/>
  <c r="AC544" i="17"/>
  <c r="AC571" i="17"/>
  <c r="AB246" i="17"/>
  <c r="AB125" i="17"/>
  <c r="AC218" i="17"/>
  <c r="AB515" i="17"/>
  <c r="AB540" i="17"/>
  <c r="AC391" i="17"/>
  <c r="AC71" i="17"/>
  <c r="AB149" i="17"/>
  <c r="AC223" i="17"/>
  <c r="AB187" i="17"/>
  <c r="AB549" i="17"/>
  <c r="AC216" i="17"/>
  <c r="AC194" i="17"/>
  <c r="AB337" i="17"/>
  <c r="AC456" i="17"/>
  <c r="AB341" i="17"/>
  <c r="AC539" i="17"/>
  <c r="AC556" i="17"/>
  <c r="AC424" i="17"/>
  <c r="AC153" i="17"/>
  <c r="AB536" i="17"/>
  <c r="AC594" i="17"/>
  <c r="AC307" i="17"/>
  <c r="AC188" i="17"/>
  <c r="AC220" i="17"/>
  <c r="AB570" i="17"/>
  <c r="AC585" i="17"/>
  <c r="AB396" i="17"/>
  <c r="AB386" i="17"/>
  <c r="AB272" i="17"/>
  <c r="AC548" i="17"/>
  <c r="AC280" i="17"/>
  <c r="AB603" i="17"/>
  <c r="AC191" i="17"/>
  <c r="AB495" i="17"/>
  <c r="AC186" i="17"/>
  <c r="AC154" i="17"/>
  <c r="AB464" i="17"/>
  <c r="AC468" i="17"/>
  <c r="AC145" i="17"/>
  <c r="AC291" i="17"/>
  <c r="AB331" i="17"/>
  <c r="AB324" i="17"/>
  <c r="AC341" i="17"/>
  <c r="AB429" i="17"/>
  <c r="AC338" i="17"/>
  <c r="AB379" i="17"/>
  <c r="AB98" i="17"/>
  <c r="AB51" i="17"/>
  <c r="AC452" i="17"/>
  <c r="AC520" i="17"/>
  <c r="AC303" i="17"/>
  <c r="AC377" i="17"/>
  <c r="AC475" i="17"/>
  <c r="AC410" i="17"/>
  <c r="AB293" i="17"/>
  <c r="AC525" i="17"/>
  <c r="AC251" i="17"/>
  <c r="AC461" i="17"/>
  <c r="AB360" i="17"/>
  <c r="AB118" i="17"/>
  <c r="AB413" i="17"/>
  <c r="AC47" i="17"/>
  <c r="AC140" i="17"/>
  <c r="AC271" i="17"/>
  <c r="AC282" i="17"/>
  <c r="AC245" i="17"/>
  <c r="AC442" i="17"/>
  <c r="AB105" i="17"/>
  <c r="AB608" i="17"/>
  <c r="AC190" i="17"/>
  <c r="AB205" i="17"/>
  <c r="AC428" i="17"/>
  <c r="AB565" i="17"/>
  <c r="AB89" i="17"/>
  <c r="AB185" i="17"/>
  <c r="AB474" i="17"/>
  <c r="AB554" i="17"/>
  <c r="AB33" i="17"/>
  <c r="AB626" i="17"/>
  <c r="AB559" i="17"/>
  <c r="AC622" i="17"/>
  <c r="AC432" i="17"/>
  <c r="AB259" i="17"/>
  <c r="AB30" i="17"/>
  <c r="AC363" i="17"/>
  <c r="AC349" i="17"/>
  <c r="AC265" i="17"/>
  <c r="AC427" i="17"/>
  <c r="AC234" i="17"/>
  <c r="AB607" i="17"/>
  <c r="AC296" i="17"/>
  <c r="AC17" i="17"/>
  <c r="AB383" i="17"/>
  <c r="AC203" i="17"/>
  <c r="AB308" i="17"/>
  <c r="AB223" i="17"/>
  <c r="AB564" i="17"/>
  <c r="AB409" i="17"/>
  <c r="AC132" i="17"/>
  <c r="AC319" i="17"/>
  <c r="AC557" i="17"/>
  <c r="AC246" i="17"/>
  <c r="AC61" i="17"/>
  <c r="AC158" i="17"/>
  <c r="AB39" i="17"/>
  <c r="AB442" i="17"/>
  <c r="AC493" i="17"/>
  <c r="AB437" i="17"/>
  <c r="AC595" i="17"/>
  <c r="AB468" i="17"/>
  <c r="AC613" i="17"/>
  <c r="AB299" i="17"/>
  <c r="AB483" i="17"/>
  <c r="AB578" i="17"/>
  <c r="AC117" i="17"/>
  <c r="AC399" i="17"/>
  <c r="AC599" i="17"/>
  <c r="AB229" i="17"/>
  <c r="AC542" i="17"/>
  <c r="AB282" i="17"/>
  <c r="AB466" i="17"/>
  <c r="AC437" i="17"/>
  <c r="AB424" i="17"/>
  <c r="AB613" i="17"/>
  <c r="AC590" i="17"/>
  <c r="AB203" i="17"/>
  <c r="AB416" i="17"/>
  <c r="AB490" i="17"/>
  <c r="AB57" i="17"/>
  <c r="AC579" i="17"/>
  <c r="AB148" i="17"/>
  <c r="AC274" i="17"/>
  <c r="AC531" i="17"/>
  <c r="AB46" i="17"/>
  <c r="AB522" i="17"/>
  <c r="AC210" i="17"/>
  <c r="AC591" i="17"/>
  <c r="AC413" i="17"/>
  <c r="AC42" i="17"/>
  <c r="AC221" i="17"/>
  <c r="AB480" i="17"/>
  <c r="AB545" i="17"/>
  <c r="AB553" i="17"/>
  <c r="AB264" i="17"/>
  <c r="AC243" i="17"/>
  <c r="AB80" i="17"/>
  <c r="AC357" i="17"/>
  <c r="AC403" i="17"/>
  <c r="AC365" i="17"/>
  <c r="AB84" i="17"/>
  <c r="AC469" i="17"/>
  <c r="AC474" i="17"/>
  <c r="AC486" i="17"/>
  <c r="AC207" i="17"/>
  <c r="AC79" i="17"/>
  <c r="AB479" i="17"/>
  <c r="AB178" i="17"/>
  <c r="AC566" i="17"/>
  <c r="AB13" i="17"/>
  <c r="AB71" i="17"/>
  <c r="AC92" i="17"/>
  <c r="AB507" i="17"/>
  <c r="AB87" i="17"/>
  <c r="AC247" i="17"/>
  <c r="AB231" i="17"/>
  <c r="AC408" i="17"/>
  <c r="AB446" i="17"/>
  <c r="AB206" i="17"/>
  <c r="AC450" i="17"/>
  <c r="AC278" i="17"/>
  <c r="AC268" i="17"/>
  <c r="AC83" i="17"/>
  <c r="AB421" i="17"/>
  <c r="AB280" i="17"/>
  <c r="AC211" i="17"/>
  <c r="AC373" i="17"/>
  <c r="AC18" i="17"/>
  <c r="AB156" i="17"/>
  <c r="AB220" i="17"/>
  <c r="AB62" i="17"/>
  <c r="AC340" i="17"/>
  <c r="AC232" i="17"/>
  <c r="AC267" i="17"/>
  <c r="AB107" i="17"/>
  <c r="AC543" i="17"/>
  <c r="AB457" i="17"/>
  <c r="AB384" i="17"/>
  <c r="AC606" i="17"/>
  <c r="AB557" i="17"/>
  <c r="AC70" i="17"/>
  <c r="AC505" i="17"/>
  <c r="AB606" i="17"/>
  <c r="AC205" i="17"/>
  <c r="AB582" i="17"/>
  <c r="AB596" i="17"/>
  <c r="AB496" i="17"/>
  <c r="AB558" i="17"/>
  <c r="AB66" i="17"/>
  <c r="AC573" i="17"/>
  <c r="AB226" i="17"/>
  <c r="AC249" i="17"/>
  <c r="AC256" i="17"/>
  <c r="AB524" i="17"/>
  <c r="AB375" i="17"/>
  <c r="AC119" i="17"/>
  <c r="AB275" i="17"/>
  <c r="AB143" i="17"/>
  <c r="AC94" i="17"/>
  <c r="AB192" i="17"/>
  <c r="AC112" i="17"/>
  <c r="AC28" i="17"/>
  <c r="AB238" i="17"/>
  <c r="AC300" i="17"/>
  <c r="AB357" i="17"/>
  <c r="AB452" i="17"/>
  <c r="AC364" i="17"/>
  <c r="AB77" i="17"/>
  <c r="AC473" i="17"/>
  <c r="AC409" i="17"/>
  <c r="AC29" i="17"/>
  <c r="AB514" i="17"/>
  <c r="AC368" i="17"/>
  <c r="AC343" i="17"/>
  <c r="AC170" i="17"/>
  <c r="AC141" i="17"/>
  <c r="AC589" i="17"/>
  <c r="AC286" i="17"/>
  <c r="AB397" i="17"/>
  <c r="AC258" i="17"/>
  <c r="AB16" i="17"/>
  <c r="AC568" i="17"/>
  <c r="AC383" i="17"/>
  <c r="AB589" i="17"/>
  <c r="AB583" i="17"/>
  <c r="AC330" i="17"/>
  <c r="AC462" i="17"/>
  <c r="AC396" i="17"/>
  <c r="AB462" i="17"/>
  <c r="AB448" i="17"/>
  <c r="AC231" i="17"/>
  <c r="AB581" i="17"/>
  <c r="AC41" i="17"/>
  <c r="AB450" i="17"/>
  <c r="AB227" i="17"/>
  <c r="AC173" i="17"/>
  <c r="AB353" i="17"/>
  <c r="AB436" i="17"/>
  <c r="AB142" i="17"/>
  <c r="AB622" i="17"/>
  <c r="AC36" i="17"/>
  <c r="AB370" i="17"/>
  <c r="AC86" i="17"/>
  <c r="AB527" i="17"/>
  <c r="AC352" i="17"/>
  <c r="AC254" i="17"/>
  <c r="AC511" i="17"/>
  <c r="AB346" i="17"/>
  <c r="AB509" i="17"/>
  <c r="AC238" i="17"/>
  <c r="AC33" i="17"/>
  <c r="AC405" i="17"/>
  <c r="AC289" i="17"/>
  <c r="AC160" i="17"/>
  <c r="AB96" i="17"/>
  <c r="AC65" i="17"/>
  <c r="AC15" i="17"/>
  <c r="AB594" i="17"/>
  <c r="AB266" i="17"/>
  <c r="AB434" i="17"/>
  <c r="AB183" i="17"/>
  <c r="AC118" i="17"/>
  <c r="AC199" i="17"/>
  <c r="AB562" i="17"/>
  <c r="AB298" i="17"/>
  <c r="AC555" i="17"/>
  <c r="AC575" i="17"/>
  <c r="AB361" i="17"/>
  <c r="AB53" i="17"/>
  <c r="AC48" i="17"/>
  <c r="AC414" i="17"/>
  <c r="AB22" i="17"/>
  <c r="AC59" i="17"/>
  <c r="AB99" i="17"/>
  <c r="AC134" i="17"/>
  <c r="AB501" i="17"/>
  <c r="AC407" i="17"/>
  <c r="AC55" i="17"/>
  <c r="AB367" i="17"/>
  <c r="AB177" i="17"/>
  <c r="AB188" i="17"/>
  <c r="AB406" i="17"/>
  <c r="AC564" i="17"/>
  <c r="AB318" i="17"/>
  <c r="AB69" i="17"/>
  <c r="AB158" i="17"/>
  <c r="AB518" i="17"/>
  <c r="AB253" i="17"/>
  <c r="AB288" i="17"/>
  <c r="AB207" i="17"/>
  <c r="AB113" i="17"/>
  <c r="AB134" i="17"/>
  <c r="AB520" i="17"/>
  <c r="AC177" i="17"/>
  <c r="AB194" i="17"/>
  <c r="AB28" i="17"/>
  <c r="AB104" i="17"/>
  <c r="AC304" i="17"/>
  <c r="AC360" i="17"/>
  <c r="AB378" i="17"/>
  <c r="AB103" i="17"/>
  <c r="AC95" i="17"/>
  <c r="AB131" i="17"/>
  <c r="AC175" i="17"/>
  <c r="AB453" i="17"/>
  <c r="AB404" i="17"/>
  <c r="AC448" i="17"/>
  <c r="AC553" i="17"/>
  <c r="AC371" i="17"/>
  <c r="AB332" i="17"/>
  <c r="AC420" i="17"/>
  <c r="AC514" i="17"/>
  <c r="AC23" i="17"/>
  <c r="AC143" i="17"/>
  <c r="AC385" i="17"/>
  <c r="AB451" i="17"/>
  <c r="AB276" i="17"/>
  <c r="AB342" i="17"/>
  <c r="AC533" i="17"/>
  <c r="AC530" i="17"/>
  <c r="AB305" i="17"/>
  <c r="AB328" i="17"/>
  <c r="AC64" i="17"/>
  <c r="AC148" i="17"/>
  <c r="AC510" i="17"/>
  <c r="AB245" i="17"/>
  <c r="AB486" i="17"/>
  <c r="AB556" i="17"/>
  <c r="AB519" i="17"/>
  <c r="AB273" i="17"/>
  <c r="AC336" i="17"/>
  <c r="AC476" i="17"/>
  <c r="AC626" i="17"/>
  <c r="AC588" i="17"/>
  <c r="AC534" i="17"/>
  <c r="AB510" i="17"/>
  <c r="AB382" i="17"/>
  <c r="AC356" i="17"/>
  <c r="AB228" i="17"/>
  <c r="AC478" i="17"/>
  <c r="AB170" i="17"/>
  <c r="AC395" i="17"/>
  <c r="AB547" i="17"/>
  <c r="AC465" i="17"/>
  <c r="AB106" i="17"/>
  <c r="AC593" i="17"/>
  <c r="AC326" i="17"/>
  <c r="AB176" i="17"/>
  <c r="AC584" i="17"/>
  <c r="AB296" i="17"/>
  <c r="AB444" i="17"/>
  <c r="AB511" i="17"/>
  <c r="AC600" i="17"/>
  <c r="AC106" i="17"/>
  <c r="AB54" i="17"/>
  <c r="AB61" i="17"/>
  <c r="AC447" i="17"/>
  <c r="AB376" i="17"/>
  <c r="AB504" i="17"/>
  <c r="AC528" i="17"/>
  <c r="AC582" i="17"/>
  <c r="AB285" i="17"/>
  <c r="AB476" i="17"/>
  <c r="AC435" i="17"/>
  <c r="AB117" i="17"/>
  <c r="AC569" i="17"/>
  <c r="AC139" i="17"/>
  <c r="AB60" i="17"/>
  <c r="AB85" i="17"/>
  <c r="AC76" i="17"/>
  <c r="AB17" i="17"/>
  <c r="AC100" i="17"/>
  <c r="AC491" i="17"/>
  <c r="AC30" i="17"/>
  <c r="AC337" i="17"/>
  <c r="AC53" i="17"/>
  <c r="AB201" i="17"/>
  <c r="AB473" i="17"/>
  <c r="AB133" i="17"/>
  <c r="AC27" i="17"/>
  <c r="AB111" i="17"/>
  <c r="AB309" i="17"/>
  <c r="AB184" i="17"/>
  <c r="AB83" i="17"/>
  <c r="AB32" i="17"/>
  <c r="AC225" i="17"/>
  <c r="AC609" i="17"/>
  <c r="AB150" i="17"/>
  <c r="AB154" i="17"/>
  <c r="AB340" i="17"/>
  <c r="AC412" i="17"/>
  <c r="AC285" i="17"/>
  <c r="AC89" i="17"/>
  <c r="AC598" i="17"/>
  <c r="AC120" i="17"/>
  <c r="AC374" i="17"/>
  <c r="AB592" i="17"/>
  <c r="AB112" i="17"/>
  <c r="AC320" i="17"/>
  <c r="AB319" i="17"/>
  <c r="AC458" i="17"/>
  <c r="AB255" i="17"/>
  <c r="AC150" i="17"/>
  <c r="AC241" i="17"/>
  <c r="AC532" i="17"/>
  <c r="AC381" i="17"/>
  <c r="AC322" i="17"/>
  <c r="AB439" i="17"/>
  <c r="AC417" i="17"/>
  <c r="AC522" i="17"/>
  <c r="AB302" i="17"/>
  <c r="AB492" i="17"/>
  <c r="AB291" i="17"/>
  <c r="AC39" i="17"/>
  <c r="AC519" i="17"/>
  <c r="AB78" i="17"/>
  <c r="AC596" i="17"/>
  <c r="AB533" i="17"/>
  <c r="AC317" i="17"/>
  <c r="AC501" i="17"/>
  <c r="AB351" i="17"/>
  <c r="AB325" i="17"/>
  <c r="AB215" i="17"/>
  <c r="AC272" i="17"/>
  <c r="AB491" i="17"/>
  <c r="AC523" i="17"/>
  <c r="AB329" i="17"/>
  <c r="AB418" i="17"/>
  <c r="AC603" i="17"/>
  <c r="AC499" i="17"/>
  <c r="AC545" i="17"/>
  <c r="AC439" i="17"/>
  <c r="AC389" i="17"/>
  <c r="AB18" i="17"/>
  <c r="AB374" i="17"/>
  <c r="AC157" i="17"/>
  <c r="AC66" i="17"/>
  <c r="AB392" i="17"/>
  <c r="AC261" i="17"/>
  <c r="AB230" i="17"/>
  <c r="AB426" i="17"/>
  <c r="AC623" i="17"/>
  <c r="AB327" i="17"/>
  <c r="AC436" i="17"/>
  <c r="AC601" i="17"/>
  <c r="AC228" i="17"/>
  <c r="AB21" i="17"/>
  <c r="AB47" i="17"/>
  <c r="AB595" i="17"/>
  <c r="AB408" i="17"/>
  <c r="AC107" i="17"/>
  <c r="AC43" i="17"/>
  <c r="AC166" i="17"/>
  <c r="AC451" i="17"/>
  <c r="AC578" i="17"/>
  <c r="AB250" i="17"/>
  <c r="AC316" i="17"/>
  <c r="AB101" i="17"/>
  <c r="AB42" i="17"/>
  <c r="AB175" i="17"/>
  <c r="AC454" i="17"/>
  <c r="AC151" i="17"/>
  <c r="AB411" i="17"/>
  <c r="AB91" i="17"/>
  <c r="AB531" i="17"/>
  <c r="AB41" i="17"/>
  <c r="AB513" i="17"/>
  <c r="AB271" i="17"/>
  <c r="AB548" i="17"/>
  <c r="AB362" i="17"/>
  <c r="AC382" i="17"/>
  <c r="AC551" i="17"/>
  <c r="AC155" i="17"/>
  <c r="AC421" i="17"/>
  <c r="AC46" i="17"/>
  <c r="AC259" i="17"/>
  <c r="AB537" i="17"/>
  <c r="AC56" i="17"/>
  <c r="AB427" i="17"/>
  <c r="AC182" i="17"/>
  <c r="AC310" i="17"/>
  <c r="AC279" i="17"/>
  <c r="AB163" i="17"/>
  <c r="AB153" i="17"/>
  <c r="AC67" i="17"/>
  <c r="AB369" i="17"/>
  <c r="AB261" i="17"/>
  <c r="AC171" i="17"/>
  <c r="AC329" i="17"/>
  <c r="AC457" i="17"/>
  <c r="AC332" i="17"/>
  <c r="AB363" i="17"/>
  <c r="AC77" i="17"/>
  <c r="AB460" i="17"/>
  <c r="AB214" i="17"/>
  <c r="AB591" i="17"/>
  <c r="AB26" i="17"/>
  <c r="AC87" i="17"/>
  <c r="AB469" i="17"/>
  <c r="AB164" i="17"/>
  <c r="AB292" i="17"/>
  <c r="AC152" i="17"/>
  <c r="AB189" i="17"/>
  <c r="AC370" i="17"/>
  <c r="AB286" i="17"/>
  <c r="AC471" i="17"/>
  <c r="AB605" i="17"/>
  <c r="AB577" i="17"/>
  <c r="AB574" i="17"/>
  <c r="AB307" i="17"/>
  <c r="AC406" i="17"/>
  <c r="AC367" i="17"/>
  <c r="AB471" i="17"/>
  <c r="AB566" i="17"/>
  <c r="AB368" i="17"/>
  <c r="AF627" i="17"/>
  <c r="AE627" i="17"/>
  <c r="AH578" i="17" l="1"/>
  <c r="AI578" i="17" s="1"/>
  <c r="W30" i="27"/>
  <c r="X59" i="27"/>
  <c r="X78" i="27"/>
  <c r="W79" i="27"/>
  <c r="X64" i="27"/>
  <c r="X45" i="27"/>
  <c r="X53" i="27"/>
  <c r="W77" i="27"/>
  <c r="W72" i="27"/>
  <c r="W27" i="27"/>
  <c r="X69" i="27"/>
  <c r="W28" i="27"/>
  <c r="AH13" i="27"/>
  <c r="AH317" i="17"/>
  <c r="AI317" i="17" s="1"/>
  <c r="AH188" i="17"/>
  <c r="AI188" i="17" s="1"/>
  <c r="X54" i="27"/>
  <c r="X56" i="27"/>
  <c r="X63" i="27"/>
  <c r="W97" i="27"/>
  <c r="B303" i="2" s="1"/>
  <c r="X74" i="27"/>
  <c r="W58" i="27"/>
  <c r="W14" i="27"/>
  <c r="X75" i="27"/>
  <c r="W66" i="27"/>
  <c r="W88" i="27"/>
  <c r="W73" i="27"/>
  <c r="W60" i="27"/>
  <c r="X50" i="27"/>
  <c r="X52" i="27"/>
  <c r="W82" i="27"/>
  <c r="W39" i="27"/>
  <c r="X71" i="27"/>
  <c r="X33" i="27"/>
  <c r="X96" i="27"/>
  <c r="X76" i="27"/>
  <c r="W55" i="27"/>
  <c r="X92" i="27"/>
  <c r="X42" i="27"/>
  <c r="X29" i="27"/>
  <c r="W93" i="27"/>
  <c r="W70" i="27"/>
  <c r="W67" i="27"/>
  <c r="X38" i="27"/>
  <c r="W15" i="27"/>
  <c r="W22" i="27"/>
  <c r="W62" i="27"/>
  <c r="X87" i="27"/>
  <c r="AB22" i="27"/>
  <c r="AA22" i="27"/>
  <c r="AB67" i="27"/>
  <c r="AA67" i="27"/>
  <c r="AB38" i="27"/>
  <c r="AA38" i="27"/>
  <c r="AB54" i="27"/>
  <c r="AA54" i="27"/>
  <c r="AB74" i="27"/>
  <c r="AA74" i="27"/>
  <c r="AA97" i="27"/>
  <c r="AB97" i="27"/>
  <c r="AB15" i="27"/>
  <c r="AA15" i="27"/>
  <c r="AB58" i="27"/>
  <c r="AA58" i="27"/>
  <c r="AB63" i="27"/>
  <c r="AA63" i="27"/>
  <c r="AB56" i="27"/>
  <c r="AA56" i="27"/>
  <c r="AA77" i="27"/>
  <c r="AB77" i="27"/>
  <c r="AA53" i="27"/>
  <c r="AB53" i="27"/>
  <c r="AB27" i="27"/>
  <c r="AA27" i="27"/>
  <c r="AB59" i="27"/>
  <c r="AA59" i="27"/>
  <c r="AA45" i="27"/>
  <c r="AB45" i="27"/>
  <c r="AB78" i="27"/>
  <c r="AA78" i="27"/>
  <c r="AA69" i="27"/>
  <c r="AB69" i="27"/>
  <c r="AB30" i="27"/>
  <c r="AA30" i="27"/>
  <c r="AB28" i="27"/>
  <c r="AA28" i="27"/>
  <c r="AB64" i="27"/>
  <c r="AA64" i="27"/>
  <c r="AB72" i="27"/>
  <c r="AA72" i="27"/>
  <c r="AB79" i="27"/>
  <c r="AA79" i="27"/>
  <c r="AB13" i="27"/>
  <c r="AA13" i="27"/>
  <c r="AB87" i="27"/>
  <c r="AA87" i="27"/>
  <c r="AB62" i="27"/>
  <c r="AA62" i="27"/>
  <c r="AB82" i="27"/>
  <c r="AA82" i="27"/>
  <c r="AA73" i="27"/>
  <c r="AB73" i="27"/>
  <c r="AB50" i="27"/>
  <c r="AA50" i="27"/>
  <c r="AB42" i="27"/>
  <c r="AA42" i="27"/>
  <c r="AB14" i="27"/>
  <c r="AA14" i="27"/>
  <c r="AA33" i="27"/>
  <c r="AB33" i="27"/>
  <c r="AB71" i="27"/>
  <c r="AA71" i="27"/>
  <c r="AB52" i="27"/>
  <c r="AA52" i="27"/>
  <c r="AB75" i="27"/>
  <c r="AA75" i="27"/>
  <c r="AB70" i="27"/>
  <c r="AA70" i="27"/>
  <c r="AB39" i="27"/>
  <c r="AA39" i="27"/>
  <c r="AA93" i="27"/>
  <c r="AB93" i="27"/>
  <c r="AB88" i="27"/>
  <c r="AA88" i="27"/>
  <c r="AB76" i="27"/>
  <c r="AA76" i="27"/>
  <c r="AB92" i="27"/>
  <c r="AA92" i="27"/>
  <c r="AB66" i="27"/>
  <c r="AA66" i="27"/>
  <c r="AB60" i="27"/>
  <c r="AA60" i="27"/>
  <c r="AA29" i="27"/>
  <c r="AB29" i="27"/>
  <c r="AB55" i="27"/>
  <c r="AA55" i="27"/>
  <c r="AB96" i="27"/>
  <c r="AA96" i="27"/>
  <c r="AH229" i="17"/>
  <c r="AI229" i="17" s="1"/>
  <c r="AH396" i="17"/>
  <c r="AI396" i="17" s="1"/>
  <c r="AH279" i="17"/>
  <c r="AI279" i="17" s="1"/>
  <c r="AH383" i="17"/>
  <c r="AI383" i="17" s="1"/>
  <c r="AB625" i="17"/>
  <c r="AC625" i="17"/>
  <c r="Y280" i="17"/>
  <c r="U625" i="17"/>
  <c r="D635" i="17" s="1"/>
  <c r="AE625" i="17"/>
  <c r="E635" i="17" s="1"/>
  <c r="AH584" i="17"/>
  <c r="AI584" i="17" s="1"/>
  <c r="V625" i="17"/>
  <c r="W625" i="17" s="1"/>
  <c r="AH21" i="17"/>
  <c r="AI21" i="17" s="1"/>
  <c r="AH134" i="17"/>
  <c r="AI134" i="17" s="1"/>
  <c r="AH491" i="17"/>
  <c r="AI491" i="17" s="1"/>
  <c r="V624" i="17"/>
  <c r="W624" i="17" s="1"/>
  <c r="Y584" i="17"/>
  <c r="AH387" i="17"/>
  <c r="AI387" i="17" s="1"/>
  <c r="AH292" i="17"/>
  <c r="AI292" i="17" s="1"/>
  <c r="Y396" i="17"/>
  <c r="AH129" i="17"/>
  <c r="AI129" i="17" s="1"/>
  <c r="U624" i="17"/>
  <c r="D634" i="17" s="1"/>
  <c r="AH583" i="17"/>
  <c r="AI583" i="17" s="1"/>
  <c r="AH116" i="17"/>
  <c r="AI116" i="17" s="1"/>
  <c r="AH561" i="17"/>
  <c r="AI561" i="17" s="1"/>
  <c r="AH306" i="17"/>
  <c r="AI306" i="17" s="1"/>
  <c r="AH86" i="17"/>
  <c r="AI86" i="17" s="1"/>
  <c r="AH183" i="17"/>
  <c r="AI183" i="17" s="1"/>
  <c r="AH91" i="17"/>
  <c r="AI91" i="17" s="1"/>
  <c r="Y134" i="17"/>
  <c r="AC624" i="17"/>
  <c r="AH468" i="17"/>
  <c r="AI468" i="17" s="1"/>
  <c r="AB624" i="17"/>
  <c r="AH252" i="17"/>
  <c r="AI252" i="17" s="1"/>
  <c r="AH422" i="17"/>
  <c r="AI422" i="17" s="1"/>
  <c r="AE624" i="17"/>
  <c r="E634" i="17" s="1"/>
  <c r="AH535" i="17"/>
  <c r="AI535" i="17" s="1"/>
  <c r="AH208" i="17"/>
  <c r="AI208" i="17" s="1"/>
  <c r="AH110" i="17"/>
  <c r="AI110" i="17" s="1"/>
  <c r="AF624" i="17"/>
  <c r="Y318" i="17"/>
  <c r="AH318" i="17"/>
  <c r="AI318" i="17" s="1"/>
  <c r="AH298" i="17"/>
  <c r="AI298" i="17" s="1"/>
  <c r="Y492" i="17"/>
  <c r="AH406" i="17"/>
  <c r="AI406" i="17" s="1"/>
  <c r="AH513" i="17"/>
  <c r="AI513" i="17" s="1"/>
  <c r="Y368" i="17"/>
  <c r="AH368" i="17"/>
  <c r="AI368" i="17" s="1"/>
  <c r="AH465" i="17"/>
  <c r="AI465" i="17" s="1"/>
  <c r="AH417" i="17"/>
  <c r="AI417" i="17" s="1"/>
  <c r="AH603" i="17"/>
  <c r="AI603" i="17" s="1"/>
  <c r="AH490" i="17"/>
  <c r="AI490" i="17" s="1"/>
  <c r="AH373" i="17"/>
  <c r="AI373" i="17" s="1"/>
  <c r="AH613" i="17"/>
  <c r="AI613" i="17" s="1"/>
  <c r="AH220" i="17"/>
  <c r="AI220" i="17" s="1"/>
  <c r="AH111" i="17"/>
  <c r="AI111" i="17" s="1"/>
  <c r="AH40" i="17"/>
  <c r="AI40" i="17" s="1"/>
  <c r="AH438" i="17"/>
  <c r="AI438" i="17" s="1"/>
  <c r="AH291" i="17"/>
  <c r="AI291" i="17" s="1"/>
  <c r="AH182" i="17"/>
  <c r="AI182" i="17" s="1"/>
  <c r="AH477" i="17"/>
  <c r="AI477" i="17" s="1"/>
  <c r="Y129" i="17"/>
  <c r="AH591" i="17"/>
  <c r="AI591" i="17" s="1"/>
  <c r="AH78" i="17"/>
  <c r="AI78" i="17" s="1"/>
  <c r="AH153" i="17"/>
  <c r="AI153" i="17" s="1"/>
  <c r="AH604" i="17"/>
  <c r="AI604" i="17" s="1"/>
  <c r="AH152" i="17"/>
  <c r="AI152" i="17" s="1"/>
  <c r="AH434" i="17"/>
  <c r="AI434" i="17" s="1"/>
  <c r="AH386" i="17"/>
  <c r="AI386" i="17" s="1"/>
  <c r="AH171" i="17"/>
  <c r="AI171" i="17" s="1"/>
  <c r="AH391" i="17"/>
  <c r="AI391" i="17" s="1"/>
  <c r="AH260" i="17"/>
  <c r="AI260" i="17" s="1"/>
  <c r="AH282" i="17"/>
  <c r="AI282" i="17" s="1"/>
  <c r="AH77" i="17"/>
  <c r="AI77" i="17" s="1"/>
  <c r="AH407" i="17"/>
  <c r="AI407" i="17" s="1"/>
  <c r="AH38" i="17"/>
  <c r="AI38" i="17" s="1"/>
  <c r="AH400" i="17"/>
  <c r="AI400" i="17" s="1"/>
  <c r="AH239" i="17"/>
  <c r="AI239" i="17" s="1"/>
  <c r="AH311" i="17"/>
  <c r="AI311" i="17" s="1"/>
  <c r="AH70" i="17"/>
  <c r="AI70" i="17" s="1"/>
  <c r="AH385" i="17"/>
  <c r="AI385" i="17" s="1"/>
  <c r="AH69" i="17"/>
  <c r="AI69" i="17" s="1"/>
  <c r="AH206" i="17"/>
  <c r="AI206" i="17" s="1"/>
  <c r="AH207" i="17"/>
  <c r="AI207" i="17" s="1"/>
  <c r="AH416" i="17"/>
  <c r="AI416" i="17" s="1"/>
  <c r="AH98" i="17"/>
  <c r="AI98" i="17" s="1"/>
  <c r="AH356" i="17"/>
  <c r="AI356" i="17" s="1"/>
  <c r="AH401" i="17"/>
  <c r="AI401" i="17" s="1"/>
  <c r="AH350" i="17"/>
  <c r="AI350" i="17" s="1"/>
  <c r="AH238" i="17"/>
  <c r="AI238" i="17" s="1"/>
  <c r="AH163" i="17"/>
  <c r="AI163" i="17" s="1"/>
  <c r="AH536" i="17"/>
  <c r="AI536" i="17" s="1"/>
  <c r="AH384" i="17"/>
  <c r="AI384" i="17" s="1"/>
  <c r="AH594" i="17"/>
  <c r="AI594" i="17" s="1"/>
  <c r="AH39" i="17"/>
  <c r="AI39" i="17" s="1"/>
  <c r="AH343" i="17"/>
  <c r="AI343" i="17" s="1"/>
  <c r="AH73" i="17"/>
  <c r="AI73" i="17" s="1"/>
  <c r="AH151" i="17"/>
  <c r="AI151" i="17" s="1"/>
  <c r="AH426" i="17"/>
  <c r="AI426" i="17" s="1"/>
  <c r="AH423" i="17"/>
  <c r="AI423" i="17" s="1"/>
  <c r="AH150" i="17"/>
  <c r="AI150" i="17" s="1"/>
  <c r="AH237" i="17"/>
  <c r="AI237" i="17" s="1"/>
  <c r="AH133" i="17"/>
  <c r="AI133" i="17" s="1"/>
  <c r="AH379" i="17"/>
  <c r="AI379" i="17" s="1"/>
  <c r="AH74" i="17"/>
  <c r="AI74" i="17" s="1"/>
  <c r="AH230" i="17"/>
  <c r="AI230" i="17" s="1"/>
  <c r="AH42" i="17"/>
  <c r="AI42" i="17" s="1"/>
  <c r="AH41" i="17"/>
  <c r="AI41" i="17" s="1"/>
  <c r="AH577" i="17"/>
  <c r="AI577" i="17" s="1"/>
  <c r="Y230" i="17"/>
  <c r="AH421" i="17"/>
  <c r="AI421" i="17" s="1"/>
  <c r="AH388" i="17"/>
  <c r="AI388" i="17" s="1"/>
  <c r="AH112" i="17"/>
  <c r="AI112" i="17" s="1"/>
  <c r="AH437" i="17"/>
  <c r="AI437" i="17" s="1"/>
  <c r="AH68" i="17"/>
  <c r="AI68" i="17" s="1"/>
  <c r="Y427" i="17"/>
  <c r="Y417" i="17"/>
  <c r="Y209" i="17"/>
  <c r="Y535" i="17"/>
  <c r="Y298" i="17"/>
  <c r="Y69" i="17"/>
  <c r="Y579" i="17"/>
  <c r="Y583" i="17"/>
  <c r="Y87" i="17"/>
  <c r="Y188" i="17"/>
  <c r="AH363" i="17"/>
  <c r="AI363" i="17" s="1"/>
  <c r="AH214" i="17"/>
  <c r="AI214" i="17" s="1"/>
  <c r="Y184" i="17"/>
  <c r="Y423" i="17"/>
  <c r="Y306" i="17"/>
  <c r="Y21" i="17"/>
  <c r="Y562" i="17"/>
  <c r="AI367" i="17"/>
  <c r="AH560" i="17"/>
  <c r="AI560" i="17" s="1"/>
  <c r="AH333" i="17"/>
  <c r="AI333" i="17" s="1"/>
  <c r="AH271" i="17"/>
  <c r="AI271" i="17" s="1"/>
  <c r="AH579" i="17"/>
  <c r="AI579" i="17" s="1"/>
  <c r="AH362" i="17"/>
  <c r="AI362" i="17" s="1"/>
  <c r="AH361" i="17"/>
  <c r="AI361" i="17" s="1"/>
  <c r="AH537" i="17"/>
  <c r="AI537" i="17" s="1"/>
  <c r="Y86" i="17"/>
  <c r="AH344" i="17"/>
  <c r="AI344" i="17" s="1"/>
  <c r="AH128" i="17"/>
  <c r="AI128" i="17" s="1"/>
  <c r="AH297" i="17"/>
  <c r="AI297" i="17" s="1"/>
  <c r="AH62" i="17"/>
  <c r="AI62" i="17" s="1"/>
  <c r="AH533" i="17"/>
  <c r="AI533" i="17" s="1"/>
  <c r="AH520" i="17"/>
  <c r="AI520" i="17" s="1"/>
  <c r="AH35" i="17"/>
  <c r="AI35" i="17" s="1"/>
  <c r="AH93" i="17"/>
  <c r="AI93" i="17" s="1"/>
  <c r="AH199" i="17"/>
  <c r="AI199" i="17" s="1"/>
  <c r="AH175" i="17"/>
  <c r="AI175" i="17" s="1"/>
  <c r="AH534" i="17"/>
  <c r="AI534" i="17" s="1"/>
  <c r="AH200" i="17"/>
  <c r="AI200" i="17" s="1"/>
  <c r="AH190" i="17"/>
  <c r="AI190" i="17" s="1"/>
  <c r="AH270" i="17"/>
  <c r="AI270" i="17" s="1"/>
  <c r="AH82" i="17"/>
  <c r="AI82" i="17" s="1"/>
  <c r="AH538" i="17"/>
  <c r="AI538" i="17" s="1"/>
  <c r="AH302" i="17"/>
  <c r="AI302" i="17" s="1"/>
  <c r="AH355" i="17"/>
  <c r="AI355" i="17" s="1"/>
  <c r="AH52" i="17"/>
  <c r="AI52" i="17" s="1"/>
  <c r="AH219" i="17"/>
  <c r="AI219" i="17" s="1"/>
  <c r="AH334" i="17"/>
  <c r="AI334" i="17" s="1"/>
  <c r="AH137" i="17"/>
  <c r="AI137" i="17" s="1"/>
  <c r="AH325" i="17"/>
  <c r="AI325" i="17" s="1"/>
  <c r="AH360" i="17"/>
  <c r="AI360" i="17" s="1"/>
  <c r="AH283" i="17"/>
  <c r="AI283" i="17" s="1"/>
  <c r="AH63" i="17"/>
  <c r="AI63" i="17" s="1"/>
  <c r="AH326" i="17"/>
  <c r="AI326" i="17" s="1"/>
  <c r="AH576" i="17"/>
  <c r="AI576" i="17" s="1"/>
  <c r="AH593" i="17"/>
  <c r="AI593" i="17" s="1"/>
  <c r="AH592" i="17"/>
  <c r="AI592" i="17" s="1"/>
  <c r="AH316" i="17"/>
  <c r="AI316" i="17" s="1"/>
  <c r="AH101" i="17"/>
  <c r="AI101" i="17" s="1"/>
  <c r="AH90" i="17"/>
  <c r="AI90" i="17" s="1"/>
  <c r="AH410" i="17"/>
  <c r="AI410" i="17" s="1"/>
  <c r="AH294" i="17"/>
  <c r="AI294" i="17" s="1"/>
  <c r="AH413" i="17"/>
  <c r="AI413" i="17" s="1"/>
  <c r="AH234" i="17"/>
  <c r="AI234" i="17" s="1"/>
  <c r="AH58" i="17"/>
  <c r="AI58" i="17" s="1"/>
  <c r="AH233" i="17"/>
  <c r="AI233" i="17" s="1"/>
  <c r="AH459" i="17"/>
  <c r="AI459" i="17" s="1"/>
  <c r="AH590" i="17"/>
  <c r="AI590" i="17" s="1"/>
  <c r="AH405" i="17"/>
  <c r="AI405" i="17" s="1"/>
  <c r="AH92" i="17"/>
  <c r="AI92" i="17" s="1"/>
  <c r="AH453" i="17"/>
  <c r="AI453" i="17" s="1"/>
  <c r="AH259" i="17"/>
  <c r="AI259" i="17" s="1"/>
  <c r="AH132" i="17"/>
  <c r="AI132" i="17" s="1"/>
  <c r="AH482" i="17"/>
  <c r="AI482" i="17" s="1"/>
  <c r="AH457" i="17"/>
  <c r="AI457" i="17" s="1"/>
  <c r="AH146" i="17"/>
  <c r="AI146" i="17" s="1"/>
  <c r="AH135" i="17"/>
  <c r="AI135" i="17" s="1"/>
  <c r="AH266" i="17"/>
  <c r="AI266" i="17" s="1"/>
  <c r="AH99" i="17"/>
  <c r="AI99" i="17" s="1"/>
  <c r="AH205" i="17"/>
  <c r="AI205" i="17" s="1"/>
  <c r="AH213" i="17"/>
  <c r="AI213" i="17" s="1"/>
  <c r="AH469" i="17"/>
  <c r="AI469" i="17" s="1"/>
  <c r="AH397" i="17"/>
  <c r="AI397" i="17" s="1"/>
  <c r="AH156" i="17"/>
  <c r="AI156" i="17" s="1"/>
  <c r="AH569" i="17"/>
  <c r="AI569" i="17" s="1"/>
  <c r="AH288" i="17"/>
  <c r="AI288" i="17" s="1"/>
  <c r="AH122" i="17"/>
  <c r="AI122" i="17" s="1"/>
  <c r="AH145" i="17"/>
  <c r="AI145" i="17" s="1"/>
  <c r="AH470" i="17"/>
  <c r="AI470" i="17" s="1"/>
  <c r="AH37" i="17"/>
  <c r="AI37" i="17" s="1"/>
  <c r="AH585" i="17"/>
  <c r="AI585" i="17" s="1"/>
  <c r="AH464" i="17"/>
  <c r="AI464" i="17" s="1"/>
  <c r="AH393" i="17"/>
  <c r="AI393" i="17" s="1"/>
  <c r="AH211" i="17"/>
  <c r="AI211" i="17" s="1"/>
  <c r="AH501" i="17"/>
  <c r="AI501" i="17" s="1"/>
  <c r="AH380" i="17"/>
  <c r="AI380" i="17" s="1"/>
  <c r="AH309" i="17"/>
  <c r="AI309" i="17" s="1"/>
  <c r="AH512" i="17"/>
  <c r="AI512" i="17" s="1"/>
  <c r="AH241" i="17"/>
  <c r="AI241" i="17" s="1"/>
  <c r="AH123" i="17"/>
  <c r="AI123" i="17" s="1"/>
  <c r="AH540" i="17"/>
  <c r="AI540" i="17" s="1"/>
  <c r="AH448" i="17"/>
  <c r="AI448" i="17" s="1"/>
  <c r="AH500" i="17"/>
  <c r="AI500" i="17" s="1"/>
  <c r="AH499" i="17"/>
  <c r="AI499" i="17" s="1"/>
  <c r="AH483" i="17"/>
  <c r="AI483" i="17" s="1"/>
  <c r="Y130" i="17"/>
  <c r="AH597" i="17"/>
  <c r="AI597" i="17" s="1"/>
  <c r="AH166" i="17"/>
  <c r="AI166" i="17" s="1"/>
  <c r="AH442" i="17"/>
  <c r="AI442" i="17" s="1"/>
  <c r="AH67" i="17"/>
  <c r="AI67" i="17" s="1"/>
  <c r="AH411" i="17"/>
  <c r="AI411" i="17" s="1"/>
  <c r="AH329" i="17"/>
  <c r="AI329" i="17" s="1"/>
  <c r="AH255" i="17"/>
  <c r="AI255" i="17" s="1"/>
  <c r="AH289" i="17"/>
  <c r="AI289" i="17" s="1"/>
  <c r="AH484" i="17"/>
  <c r="AI484" i="17" s="1"/>
  <c r="AH607" i="17"/>
  <c r="AI607" i="17" s="1"/>
  <c r="AH26" i="17"/>
  <c r="AI26" i="17" s="1"/>
  <c r="AH203" i="17"/>
  <c r="AI203" i="17" s="1"/>
  <c r="AH348" i="17"/>
  <c r="AI348" i="17" s="1"/>
  <c r="AH253" i="17"/>
  <c r="AI253" i="17" s="1"/>
  <c r="AH97" i="17"/>
  <c r="AI97" i="17" s="1"/>
  <c r="AH55" i="17"/>
  <c r="AI55" i="17" s="1"/>
  <c r="AH515" i="17"/>
  <c r="AI515" i="17" s="1"/>
  <c r="AH265" i="17"/>
  <c r="AI265" i="17" s="1"/>
  <c r="AH278" i="17"/>
  <c r="AI278" i="17" s="1"/>
  <c r="AH277" i="17"/>
  <c r="AI277" i="17" s="1"/>
  <c r="AH354" i="17"/>
  <c r="AI354" i="17" s="1"/>
  <c r="AH15" i="17"/>
  <c r="AI15" i="17" s="1"/>
  <c r="AH158" i="17"/>
  <c r="AI158" i="17" s="1"/>
  <c r="AH290" i="17"/>
  <c r="AI290" i="17" s="1"/>
  <c r="AH319" i="17"/>
  <c r="AI319" i="17" s="1"/>
  <c r="AH109" i="17"/>
  <c r="AI109" i="17" s="1"/>
  <c r="AH193" i="17"/>
  <c r="AI193" i="17" s="1"/>
  <c r="AH235" i="17"/>
  <c r="AI235" i="17" s="1"/>
  <c r="AH115" i="17"/>
  <c r="AI115" i="17" s="1"/>
  <c r="AH120" i="17"/>
  <c r="AI120" i="17" s="1"/>
  <c r="AH528" i="17"/>
  <c r="AI528" i="17" s="1"/>
  <c r="AH61" i="17"/>
  <c r="AI61" i="17" s="1"/>
  <c r="AH460" i="17"/>
  <c r="AI460" i="17" s="1"/>
  <c r="AH548" i="17"/>
  <c r="AI548" i="17" s="1"/>
  <c r="AH121" i="17"/>
  <c r="AI121" i="17" s="1"/>
  <c r="AH286" i="17"/>
  <c r="AI286" i="17" s="1"/>
  <c r="AH566" i="17"/>
  <c r="AI566" i="17" s="1"/>
  <c r="AH439" i="17"/>
  <c r="AI439" i="17" s="1"/>
  <c r="AH71" i="17"/>
  <c r="AI71" i="17" s="1"/>
  <c r="AH307" i="17"/>
  <c r="AI307" i="17" s="1"/>
  <c r="AH299" i="17"/>
  <c r="AI299" i="17" s="1"/>
  <c r="AH609" i="17"/>
  <c r="AI609" i="17" s="1"/>
  <c r="AH162" i="17"/>
  <c r="AI162" i="17" s="1"/>
  <c r="AH320" i="17"/>
  <c r="AI320" i="17" s="1"/>
  <c r="AH487" i="17"/>
  <c r="AI487" i="17" s="1"/>
  <c r="AH516" i="17"/>
  <c r="AI516" i="17" s="1"/>
  <c r="AH359" i="17"/>
  <c r="AI359" i="17" s="1"/>
  <c r="AH20" i="17"/>
  <c r="AI20" i="17" s="1"/>
  <c r="AH186" i="17"/>
  <c r="AI186" i="17" s="1"/>
  <c r="AH59" i="17"/>
  <c r="AI59" i="17" s="1"/>
  <c r="AH357" i="17"/>
  <c r="AI357" i="17" s="1"/>
  <c r="AH107" i="17"/>
  <c r="AI107" i="17" s="1"/>
  <c r="AH184" i="17"/>
  <c r="AI184" i="17" s="1"/>
  <c r="AH66" i="17"/>
  <c r="AI66" i="17" s="1"/>
  <c r="AH300" i="17"/>
  <c r="AI300" i="17" s="1"/>
  <c r="AH284" i="17"/>
  <c r="AI284" i="17" s="1"/>
  <c r="AH508" i="17"/>
  <c r="AI508" i="17" s="1"/>
  <c r="AH554" i="17"/>
  <c r="AI554" i="17" s="1"/>
  <c r="AH412" i="17"/>
  <c r="AI412" i="17" s="1"/>
  <c r="AH375" i="17"/>
  <c r="AI375" i="17" s="1"/>
  <c r="AH293" i="17"/>
  <c r="AI293" i="17" s="1"/>
  <c r="AH441" i="17"/>
  <c r="AI441" i="17" s="1"/>
  <c r="AH440" i="17"/>
  <c r="AI440" i="17" s="1"/>
  <c r="AH494" i="17"/>
  <c r="AI494" i="17" s="1"/>
  <c r="AH49" i="17"/>
  <c r="AI49" i="17" s="1"/>
  <c r="AH308" i="17"/>
  <c r="AI308" i="17" s="1"/>
  <c r="AH225" i="17"/>
  <c r="AI225" i="17" s="1"/>
  <c r="AH436" i="17"/>
  <c r="AI436" i="17" s="1"/>
  <c r="AH351" i="17"/>
  <c r="AI351" i="17" s="1"/>
  <c r="AH224" i="17"/>
  <c r="AI224" i="17" s="1"/>
  <c r="AH418" i="17"/>
  <c r="AI418" i="17" s="1"/>
  <c r="AH415" i="17"/>
  <c r="AI415" i="17" s="1"/>
  <c r="AH565" i="17"/>
  <c r="AI565" i="17" s="1"/>
  <c r="AH574" i="17"/>
  <c r="AI574" i="17" s="1"/>
  <c r="AH496" i="17"/>
  <c r="AI496" i="17" s="1"/>
  <c r="AH563" i="17"/>
  <c r="AI563" i="17" s="1"/>
  <c r="AH251" i="17"/>
  <c r="AI251" i="17" s="1"/>
  <c r="AH57" i="17"/>
  <c r="AI57" i="17" s="1"/>
  <c r="AH139" i="17"/>
  <c r="AI139" i="17" s="1"/>
  <c r="AH349" i="17"/>
  <c r="AI349" i="17" s="1"/>
  <c r="AH72" i="17"/>
  <c r="AI72" i="17" s="1"/>
  <c r="AH539" i="17"/>
  <c r="AI539" i="17" s="1"/>
  <c r="AH567" i="17"/>
  <c r="AI567" i="17" s="1"/>
  <c r="AH419" i="17"/>
  <c r="AI419" i="17" s="1"/>
  <c r="AH555" i="17"/>
  <c r="AI555" i="17" s="1"/>
  <c r="AH147" i="17"/>
  <c r="AI147" i="17" s="1"/>
  <c r="Y293" i="17"/>
  <c r="AH340" i="17"/>
  <c r="AI340" i="17" s="1"/>
  <c r="AH517" i="17"/>
  <c r="AI517" i="17" s="1"/>
  <c r="AH389" i="17"/>
  <c r="AI389" i="17" s="1"/>
  <c r="AH337" i="17"/>
  <c r="AI337" i="17" s="1"/>
  <c r="AH148" i="17"/>
  <c r="AI148" i="17" s="1"/>
  <c r="AH94" i="17"/>
  <c r="AI94" i="17" s="1"/>
  <c r="AH323" i="17"/>
  <c r="AI323" i="17" s="1"/>
  <c r="AH287" i="17"/>
  <c r="AI287" i="17" s="1"/>
  <c r="AH23" i="17"/>
  <c r="AI23" i="17" s="1"/>
  <c r="AH130" i="17"/>
  <c r="AI130" i="17" s="1"/>
  <c r="AH185" i="17"/>
  <c r="AI185" i="17" s="1"/>
  <c r="AH174" i="17"/>
  <c r="AI174" i="17" s="1"/>
  <c r="AH187" i="17"/>
  <c r="AI187" i="17" s="1"/>
  <c r="AH196" i="17"/>
  <c r="AI196" i="17" s="1"/>
  <c r="AH345" i="17"/>
  <c r="AI345" i="17" s="1"/>
  <c r="AH370" i="17"/>
  <c r="AI370" i="17" s="1"/>
  <c r="AH564" i="17"/>
  <c r="AI564" i="17" s="1"/>
  <c r="AH575" i="17"/>
  <c r="AI575" i="17" s="1"/>
  <c r="AH433" i="17"/>
  <c r="AI433" i="17" s="1"/>
  <c r="AH530" i="17"/>
  <c r="AI530" i="17" s="1"/>
  <c r="AH435" i="17"/>
  <c r="AI435" i="17" s="1"/>
  <c r="AH189" i="17"/>
  <c r="AI189" i="17" s="1"/>
  <c r="AH589" i="17"/>
  <c r="AI589" i="17" s="1"/>
  <c r="AH173" i="17"/>
  <c r="AI173" i="17" s="1"/>
  <c r="AH13" i="17"/>
  <c r="AI13" i="17" s="1"/>
  <c r="AH481" i="17"/>
  <c r="AI481" i="17" s="1"/>
  <c r="AH402" i="17"/>
  <c r="AI402" i="17" s="1"/>
  <c r="AH599" i="17"/>
  <c r="AI599" i="17" s="1"/>
  <c r="AH495" i="17"/>
  <c r="AI495" i="17" s="1"/>
  <c r="AH314" i="17"/>
  <c r="AI314" i="17" s="1"/>
  <c r="AH258" i="17"/>
  <c r="AI258" i="17" s="1"/>
  <c r="AH431" i="17"/>
  <c r="AI431" i="17" s="1"/>
  <c r="AH472" i="17"/>
  <c r="AI472" i="17" s="1"/>
  <c r="AH280" i="17"/>
  <c r="AI280" i="17" s="1"/>
  <c r="AH274" i="17"/>
  <c r="AI274" i="17" s="1"/>
  <c r="AH471" i="17"/>
  <c r="AI471" i="17" s="1"/>
  <c r="AH369" i="17"/>
  <c r="AI369" i="17" s="1"/>
  <c r="AH527" i="17"/>
  <c r="AI527" i="17" s="1"/>
  <c r="AH454" i="17"/>
  <c r="AI454" i="17" s="1"/>
  <c r="AH315" i="17"/>
  <c r="AI315" i="17" s="1"/>
  <c r="AH429" i="17"/>
  <c r="AI429" i="17" s="1"/>
  <c r="AH17" i="17"/>
  <c r="AI17" i="17" s="1"/>
  <c r="AH414" i="17"/>
  <c r="AI414" i="17" s="1"/>
  <c r="AH324" i="17"/>
  <c r="AI324" i="17" s="1"/>
  <c r="AH392" i="17"/>
  <c r="AI392" i="17" s="1"/>
  <c r="AH149" i="17"/>
  <c r="AI149" i="17" s="1"/>
  <c r="AH124" i="17"/>
  <c r="AI124" i="17" s="1"/>
  <c r="AH24" i="17"/>
  <c r="AI24" i="17" s="1"/>
  <c r="AH404" i="17"/>
  <c r="AI404" i="17" s="1"/>
  <c r="AH598" i="17"/>
  <c r="AI598" i="17" s="1"/>
  <c r="AH612" i="17"/>
  <c r="AI612" i="17" s="1"/>
  <c r="AH498" i="17"/>
  <c r="AI498" i="17" s="1"/>
  <c r="AH212" i="17"/>
  <c r="AI212" i="17" s="1"/>
  <c r="AH568" i="17"/>
  <c r="AI568" i="17" s="1"/>
  <c r="AH582" i="17"/>
  <c r="AI582" i="17" s="1"/>
  <c r="AH25" i="17"/>
  <c r="AI25" i="17" s="1"/>
  <c r="AH172" i="17"/>
  <c r="AI172" i="17" s="1"/>
  <c r="AH506" i="17"/>
  <c r="AI506" i="17" s="1"/>
  <c r="AH553" i="17"/>
  <c r="AI553" i="17" s="1"/>
  <c r="AH56" i="17"/>
  <c r="AI56" i="17" s="1"/>
  <c r="AH562" i="17"/>
  <c r="AI562" i="17" s="1"/>
  <c r="AH22" i="17"/>
  <c r="AI22" i="17" s="1"/>
  <c r="AH505" i="17"/>
  <c r="AI505" i="17" s="1"/>
  <c r="AH113" i="17"/>
  <c r="AI113" i="17" s="1"/>
  <c r="AH138" i="17"/>
  <c r="AI138" i="17" s="1"/>
  <c r="AH34" i="17"/>
  <c r="AI34" i="17" s="1"/>
  <c r="AH310" i="17"/>
  <c r="AI310" i="17" s="1"/>
  <c r="AH267" i="17"/>
  <c r="AI267" i="17" s="1"/>
  <c r="AH492" i="17"/>
  <c r="AI492" i="17" s="1"/>
  <c r="AH281" i="17"/>
  <c r="AI281" i="17" s="1"/>
  <c r="AH254" i="17"/>
  <c r="AI254" i="17" s="1"/>
  <c r="AH250" i="17"/>
  <c r="AI250" i="17" s="1"/>
  <c r="AH432" i="17"/>
  <c r="AI432" i="17" s="1"/>
  <c r="AH236" i="17"/>
  <c r="AI236" i="17" s="1"/>
  <c r="AH198" i="17"/>
  <c r="AI198" i="17" s="1"/>
  <c r="AH144" i="17"/>
  <c r="AI144" i="17" s="1"/>
  <c r="AH526" i="17"/>
  <c r="AI526" i="17" s="1"/>
  <c r="AH552" i="17"/>
  <c r="AI552" i="17" s="1"/>
  <c r="AH321" i="17"/>
  <c r="AI321" i="17" s="1"/>
  <c r="AH428" i="17"/>
  <c r="AI428" i="17" s="1"/>
  <c r="AH338" i="17"/>
  <c r="AI338" i="17" s="1"/>
  <c r="AH497" i="17"/>
  <c r="AI497" i="17" s="1"/>
  <c r="AH458" i="17"/>
  <c r="AI458" i="17" s="1"/>
  <c r="AH600" i="17"/>
  <c r="AI600" i="17" s="1"/>
  <c r="AH303" i="17"/>
  <c r="AI303" i="17" s="1"/>
  <c r="AH232" i="17"/>
  <c r="AI232" i="17" s="1"/>
  <c r="AH427" i="17"/>
  <c r="AI427" i="17" s="1"/>
  <c r="AH493" i="17"/>
  <c r="AI493" i="17" s="1"/>
  <c r="AH304" i="17"/>
  <c r="AI304" i="17" s="1"/>
  <c r="AH322" i="17"/>
  <c r="AI322" i="17" s="1"/>
  <c r="AH81" i="17"/>
  <c r="AI81" i="17" s="1"/>
  <c r="AH514" i="17"/>
  <c r="AI514" i="17" s="1"/>
  <c r="AH390" i="17"/>
  <c r="AI390" i="17" s="1"/>
  <c r="AH570" i="17"/>
  <c r="AI570" i="17" s="1"/>
  <c r="AH48" i="17"/>
  <c r="AI48" i="17" s="1"/>
  <c r="AH46" i="17"/>
  <c r="AI46" i="17" s="1"/>
  <c r="AH102" i="17"/>
  <c r="AI102" i="17" s="1"/>
  <c r="AH217" i="17"/>
  <c r="AI217" i="17" s="1"/>
  <c r="AH275" i="17"/>
  <c r="AI275" i="17" s="1"/>
  <c r="AH394" i="17"/>
  <c r="AI394" i="17" s="1"/>
  <c r="AH420" i="17"/>
  <c r="AI420" i="17" s="1"/>
  <c r="AH161" i="17"/>
  <c r="AI161" i="17" s="1"/>
  <c r="AH228" i="17"/>
  <c r="AI228" i="17" s="1"/>
  <c r="AH54" i="17"/>
  <c r="AI54" i="17" s="1"/>
  <c r="AH610" i="17"/>
  <c r="AI610" i="17" s="1"/>
  <c r="AH502" i="17"/>
  <c r="AI502" i="17" s="1"/>
  <c r="AH50" i="17"/>
  <c r="AI50" i="17" s="1"/>
  <c r="AH529" i="17"/>
  <c r="AI529" i="17" s="1"/>
  <c r="AH381" i="17"/>
  <c r="AI381" i="17" s="1"/>
  <c r="AH19" i="17"/>
  <c r="AI19" i="17" s="1"/>
  <c r="AH545" i="17"/>
  <c r="AI545" i="17" s="1"/>
  <c r="AH136" i="17"/>
  <c r="AI136" i="17" s="1"/>
  <c r="AH204" i="17"/>
  <c r="AI204" i="17" s="1"/>
  <c r="AH358" i="17"/>
  <c r="AI358" i="17" s="1"/>
  <c r="AH446" i="17"/>
  <c r="AI446" i="17" s="1"/>
  <c r="AH489" i="17"/>
  <c r="AI489" i="17" s="1"/>
  <c r="AH572" i="17"/>
  <c r="AI572" i="17" s="1"/>
  <c r="AH14" i="17"/>
  <c r="AI14" i="17" s="1"/>
  <c r="AH100" i="17"/>
  <c r="AI100" i="17" s="1"/>
  <c r="AH245" i="17"/>
  <c r="AI245" i="17" s="1"/>
  <c r="AH76" i="17"/>
  <c r="AI76" i="17" s="1"/>
  <c r="AH463" i="17"/>
  <c r="AI463" i="17" s="1"/>
  <c r="AH531" i="17"/>
  <c r="AI531" i="17" s="1"/>
  <c r="AH194" i="17"/>
  <c r="AI194" i="17" s="1"/>
  <c r="AH79" i="17"/>
  <c r="AI79" i="17" s="1"/>
  <c r="AH242" i="17"/>
  <c r="AI242" i="17" s="1"/>
  <c r="AH332" i="17"/>
  <c r="AI332" i="17" s="1"/>
  <c r="AH550" i="17"/>
  <c r="AI550" i="17" s="1"/>
  <c r="AH89" i="17"/>
  <c r="AI89" i="17" s="1"/>
  <c r="AH330" i="17"/>
  <c r="AI330" i="17" s="1"/>
  <c r="AH36" i="17"/>
  <c r="AI36" i="17" s="1"/>
  <c r="AH571" i="17"/>
  <c r="AI571" i="17" s="1"/>
  <c r="AH587" i="17"/>
  <c r="AI587" i="17" s="1"/>
  <c r="AH301" i="17"/>
  <c r="AI301" i="17" s="1"/>
  <c r="AH305" i="17"/>
  <c r="AI305" i="17" s="1"/>
  <c r="AH231" i="17"/>
  <c r="AI231" i="17" s="1"/>
  <c r="AH525" i="17"/>
  <c r="AI525" i="17" s="1"/>
  <c r="AH32" i="17"/>
  <c r="AI32" i="17" s="1"/>
  <c r="AH544" i="17"/>
  <c r="AI544" i="17" s="1"/>
  <c r="AH218" i="17"/>
  <c r="AI218" i="17" s="1"/>
  <c r="AH462" i="17"/>
  <c r="AI462" i="17" s="1"/>
  <c r="AH33" i="17"/>
  <c r="AI33" i="17" s="1"/>
  <c r="AH75" i="17"/>
  <c r="AI75" i="17" s="1"/>
  <c r="AH84" i="17"/>
  <c r="AI84" i="17" s="1"/>
  <c r="AH461" i="17"/>
  <c r="AI461" i="17" s="1"/>
  <c r="AH169" i="17"/>
  <c r="AI169" i="17" s="1"/>
  <c r="AH366" i="17"/>
  <c r="AI366" i="17" s="1"/>
  <c r="AH31" i="17"/>
  <c r="AI31" i="17" s="1"/>
  <c r="AH573" i="17"/>
  <c r="AI573" i="17" s="1"/>
  <c r="AH154" i="17"/>
  <c r="AI154" i="17" s="1"/>
  <c r="AH346" i="17"/>
  <c r="AI346" i="17" s="1"/>
  <c r="AH507" i="17"/>
  <c r="AI507" i="17" s="1"/>
  <c r="AH382" i="17"/>
  <c r="AI382" i="17" s="1"/>
  <c r="AH596" i="17"/>
  <c r="AI596" i="17" s="1"/>
  <c r="AH18" i="17"/>
  <c r="AI18" i="17" s="1"/>
  <c r="AH155" i="17"/>
  <c r="AI155" i="17" s="1"/>
  <c r="AH95" i="17"/>
  <c r="AI95" i="17" s="1"/>
  <c r="AH125" i="17"/>
  <c r="AI125" i="17" s="1"/>
  <c r="AH549" i="17"/>
  <c r="AI549" i="17" s="1"/>
  <c r="AH541" i="17"/>
  <c r="AI541" i="17" s="1"/>
  <c r="AH179" i="17"/>
  <c r="AI179" i="17" s="1"/>
  <c r="AH197" i="17"/>
  <c r="AI197" i="17" s="1"/>
  <c r="AH606" i="17"/>
  <c r="AI606" i="17" s="1"/>
  <c r="AH108" i="17"/>
  <c r="AI108" i="17" s="1"/>
  <c r="AH395" i="17"/>
  <c r="AI395" i="17" s="1"/>
  <c r="AH444" i="17"/>
  <c r="AI444" i="17" s="1"/>
  <c r="AH588" i="17"/>
  <c r="AI588" i="17" s="1"/>
  <c r="AH51" i="17"/>
  <c r="AI51" i="17" s="1"/>
  <c r="AH532" i="17"/>
  <c r="AI532" i="17" s="1"/>
  <c r="AH167" i="17"/>
  <c r="AI167" i="17" s="1"/>
  <c r="AH240" i="17"/>
  <c r="AI240" i="17" s="1"/>
  <c r="AH168" i="17"/>
  <c r="AI168" i="17" s="1"/>
  <c r="AH246" i="17"/>
  <c r="AI246" i="17" s="1"/>
  <c r="AH195" i="17"/>
  <c r="AI195" i="17" s="1"/>
  <c r="AH170" i="17"/>
  <c r="AI170" i="17" s="1"/>
  <c r="AH551" i="17"/>
  <c r="AI551" i="17" s="1"/>
  <c r="AH488" i="17"/>
  <c r="AI488" i="17" s="1"/>
  <c r="AH114" i="17"/>
  <c r="AI114" i="17" s="1"/>
  <c r="AH85" i="17"/>
  <c r="AI85" i="17" s="1"/>
  <c r="AH374" i="17"/>
  <c r="AI374" i="17" s="1"/>
  <c r="AH409" i="17"/>
  <c r="AI409" i="17" s="1"/>
  <c r="AH601" i="17"/>
  <c r="AI601" i="17" s="1"/>
  <c r="AH262" i="17"/>
  <c r="AI262" i="17" s="1"/>
  <c r="AH222" i="17"/>
  <c r="AI222" i="17" s="1"/>
  <c r="AH248" i="17"/>
  <c r="AI248" i="17" s="1"/>
  <c r="AH157" i="17"/>
  <c r="AI157" i="17" s="1"/>
  <c r="AH273" i="17"/>
  <c r="AI273" i="17" s="1"/>
  <c r="AH408" i="17"/>
  <c r="AI408" i="17" s="1"/>
  <c r="AH559" i="17"/>
  <c r="AI559" i="17" s="1"/>
  <c r="AH105" i="17"/>
  <c r="AI105" i="17" s="1"/>
  <c r="AH511" i="17"/>
  <c r="AI511" i="17" s="1"/>
  <c r="AH223" i="17"/>
  <c r="AI223" i="17" s="1"/>
  <c r="AH181" i="17"/>
  <c r="AI181" i="17" s="1"/>
  <c r="AH455" i="17"/>
  <c r="AI455" i="17" s="1"/>
  <c r="AH29" i="17"/>
  <c r="AI29" i="17" s="1"/>
  <c r="AH244" i="17"/>
  <c r="AI244" i="17" s="1"/>
  <c r="AH611" i="17"/>
  <c r="AI611" i="17" s="1"/>
  <c r="AH473" i="17"/>
  <c r="AI473" i="17" s="1"/>
  <c r="AH83" i="17"/>
  <c r="AI83" i="17" s="1"/>
  <c r="AH227" i="17"/>
  <c r="AI227" i="17" s="1"/>
  <c r="AH510" i="17"/>
  <c r="AI510" i="17" s="1"/>
  <c r="AH272" i="17"/>
  <c r="AI272" i="17" s="1"/>
  <c r="AH479" i="17"/>
  <c r="AI479" i="17" s="1"/>
  <c r="AH353" i="17"/>
  <c r="AI353" i="17" s="1"/>
  <c r="AH226" i="17"/>
  <c r="AI226" i="17" s="1"/>
  <c r="AH474" i="17"/>
  <c r="AI474" i="17" s="1"/>
  <c r="AH243" i="17"/>
  <c r="AI243" i="17" s="1"/>
  <c r="AH456" i="17"/>
  <c r="AI456" i="17" s="1"/>
  <c r="AH180" i="17"/>
  <c r="AI180" i="17" s="1"/>
  <c r="AH352" i="17"/>
  <c r="AI352" i="17" s="1"/>
  <c r="AH261" i="17"/>
  <c r="AI261" i="17" s="1"/>
  <c r="AH542" i="17"/>
  <c r="AI542" i="17" s="1"/>
  <c r="AH478" i="17"/>
  <c r="AI478" i="17" s="1"/>
  <c r="AH543" i="17"/>
  <c r="AI543" i="17" s="1"/>
  <c r="AH285" i="17"/>
  <c r="AI285" i="17" s="1"/>
  <c r="AH249" i="17"/>
  <c r="AI249" i="17" s="1"/>
  <c r="AH605" i="17"/>
  <c r="AI605" i="17" s="1"/>
  <c r="AH247" i="17"/>
  <c r="AI247" i="17" s="1"/>
  <c r="AH221" i="17"/>
  <c r="AI221" i="17" s="1"/>
  <c r="AH602" i="17"/>
  <c r="AI602" i="17" s="1"/>
  <c r="AH80" i="17"/>
  <c r="AI80" i="17" s="1"/>
  <c r="AH331" i="17"/>
  <c r="AI331" i="17" s="1"/>
  <c r="AH201" i="17"/>
  <c r="AI201" i="17" s="1"/>
  <c r="AH268" i="17"/>
  <c r="AI268" i="17" s="1"/>
  <c r="AH521" i="17"/>
  <c r="AI521" i="17" s="1"/>
  <c r="AH87" i="17"/>
  <c r="AI87" i="17" s="1"/>
  <c r="AH522" i="17"/>
  <c r="AI522" i="17" s="1"/>
  <c r="AH480" i="17"/>
  <c r="AI480" i="17" s="1"/>
  <c r="AH557" i="17"/>
  <c r="AI557" i="17" s="1"/>
  <c r="AH447" i="17"/>
  <c r="AI447" i="17" s="1"/>
  <c r="AH141" i="17"/>
  <c r="AI141" i="17" s="1"/>
  <c r="AH425" i="17"/>
  <c r="AI425" i="17" s="1"/>
  <c r="AH30" i="17"/>
  <c r="AI30" i="17" s="1"/>
  <c r="AH430" i="17"/>
  <c r="AI430" i="17" s="1"/>
  <c r="AH142" i="17"/>
  <c r="AI142" i="17" s="1"/>
  <c r="AH103" i="17"/>
  <c r="AI103" i="17" s="1"/>
  <c r="AH177" i="17"/>
  <c r="AI177" i="17" s="1"/>
  <c r="AH608" i="17"/>
  <c r="AI608" i="17" s="1"/>
  <c r="AH518" i="17"/>
  <c r="AI518" i="17" s="1"/>
  <c r="AH524" i="17"/>
  <c r="AI524" i="17" s="1"/>
  <c r="AH96" i="17"/>
  <c r="AI96" i="17" s="1"/>
  <c r="AH264" i="17"/>
  <c r="AI264" i="17" s="1"/>
  <c r="AH191" i="17"/>
  <c r="AI191" i="17" s="1"/>
  <c r="AH581" i="17"/>
  <c r="AI581" i="17" s="1"/>
  <c r="AH339" i="17"/>
  <c r="AI339" i="17" s="1"/>
  <c r="AH547" i="17"/>
  <c r="AI547" i="17" s="1"/>
  <c r="AH371" i="17"/>
  <c r="AI371" i="17" s="1"/>
  <c r="AH347" i="17"/>
  <c r="AI347" i="17" s="1"/>
  <c r="AH372" i="17"/>
  <c r="AI372" i="17" s="1"/>
  <c r="AH16" i="17"/>
  <c r="AI16" i="17" s="1"/>
  <c r="AH47" i="17"/>
  <c r="AI47" i="17" s="1"/>
  <c r="AH445" i="17"/>
  <c r="AI445" i="17" s="1"/>
  <c r="Y117" i="17"/>
  <c r="AH580" i="17"/>
  <c r="AI580" i="17" s="1"/>
  <c r="AH202" i="17"/>
  <c r="AI202" i="17" s="1"/>
  <c r="AH558" i="17"/>
  <c r="AI558" i="17" s="1"/>
  <c r="AH210" i="17"/>
  <c r="AI210" i="17" s="1"/>
  <c r="AH523" i="17"/>
  <c r="AI523" i="17" s="1"/>
  <c r="AH504" i="17"/>
  <c r="AI504" i="17" s="1"/>
  <c r="AH452" i="17"/>
  <c r="AI452" i="17" s="1"/>
  <c r="AH160" i="17"/>
  <c r="AI160" i="17" s="1"/>
  <c r="AH398" i="17"/>
  <c r="AI398" i="17" s="1"/>
  <c r="AH88" i="17"/>
  <c r="AI88" i="17" s="1"/>
  <c r="AH164" i="17"/>
  <c r="AI164" i="17" s="1"/>
  <c r="AH159" i="17"/>
  <c r="AI159" i="17" s="1"/>
  <c r="AH165" i="17"/>
  <c r="AI165" i="17" s="1"/>
  <c r="AH486" i="17"/>
  <c r="AI486" i="17" s="1"/>
  <c r="AH467" i="17"/>
  <c r="AI467" i="17" s="1"/>
  <c r="AH546" i="17"/>
  <c r="AI546" i="17" s="1"/>
  <c r="AH335" i="17"/>
  <c r="AI335" i="17" s="1"/>
  <c r="AH192" i="17"/>
  <c r="AI192" i="17" s="1"/>
  <c r="AH118" i="17"/>
  <c r="AI118" i="17" s="1"/>
  <c r="AH178" i="17"/>
  <c r="AI178" i="17" s="1"/>
  <c r="AH45" i="17"/>
  <c r="AI45" i="17" s="1"/>
  <c r="AH595" i="17"/>
  <c r="AI595" i="17" s="1"/>
  <c r="AH443" i="17"/>
  <c r="AI443" i="17" s="1"/>
  <c r="AH399" i="17"/>
  <c r="AI399" i="17" s="1"/>
  <c r="AH586" i="17"/>
  <c r="AI586" i="17" s="1"/>
  <c r="AH143" i="17"/>
  <c r="AI143" i="17" s="1"/>
  <c r="AH263" i="17"/>
  <c r="AI263" i="17" s="1"/>
  <c r="AH327" i="17"/>
  <c r="AI327" i="17" s="1"/>
  <c r="AH403" i="17"/>
  <c r="AI403" i="17" s="1"/>
  <c r="AH176" i="17"/>
  <c r="AI176" i="17" s="1"/>
  <c r="AH44" i="17"/>
  <c r="AI44" i="17" s="1"/>
  <c r="AH378" i="17"/>
  <c r="AI378" i="17" s="1"/>
  <c r="AH28" i="17"/>
  <c r="AI28" i="17" s="1"/>
  <c r="AH256" i="17"/>
  <c r="AI256" i="17" s="1"/>
  <c r="AH257" i="17"/>
  <c r="AI257" i="17" s="1"/>
  <c r="AH485" i="17"/>
  <c r="AI485" i="17" s="1"/>
  <c r="AH328" i="17"/>
  <c r="AI328" i="17" s="1"/>
  <c r="AH451" i="17"/>
  <c r="AI451" i="17" s="1"/>
  <c r="AH556" i="17"/>
  <c r="AI556" i="17" s="1"/>
  <c r="AH295" i="17"/>
  <c r="AI295" i="17" s="1"/>
  <c r="AH450" i="17"/>
  <c r="AI450" i="17" s="1"/>
  <c r="AH313" i="17"/>
  <c r="AI313" i="17" s="1"/>
  <c r="AH43" i="17"/>
  <c r="AI43" i="17" s="1"/>
  <c r="AH209" i="17"/>
  <c r="AI209" i="17" s="1"/>
  <c r="AH377" i="17"/>
  <c r="AI377" i="17" s="1"/>
  <c r="AH476" i="17"/>
  <c r="AI476" i="17" s="1"/>
  <c r="AH131" i="17"/>
  <c r="AI131" i="17" s="1"/>
  <c r="AH60" i="17"/>
  <c r="AI60" i="17" s="1"/>
  <c r="AH64" i="17"/>
  <c r="AI64" i="17" s="1"/>
  <c r="AH216" i="17"/>
  <c r="AI216" i="17" s="1"/>
  <c r="AH119" i="17"/>
  <c r="AI119" i="17" s="1"/>
  <c r="AH424" i="17"/>
  <c r="AI424" i="17" s="1"/>
  <c r="AH215" i="17"/>
  <c r="AI215" i="17" s="1"/>
  <c r="AH117" i="17"/>
  <c r="AI117" i="17" s="1"/>
  <c r="AH65" i="17"/>
  <c r="AI65" i="17" s="1"/>
  <c r="AH509" i="17"/>
  <c r="AI509" i="17" s="1"/>
  <c r="AH53" i="17"/>
  <c r="AI53" i="17" s="1"/>
  <c r="AH519" i="17"/>
  <c r="AI519" i="17" s="1"/>
  <c r="AH365" i="17"/>
  <c r="AI365" i="17" s="1"/>
  <c r="AH336" i="17"/>
  <c r="AI336" i="17" s="1"/>
  <c r="AH364" i="17"/>
  <c r="AI364" i="17" s="1"/>
  <c r="AH126" i="17"/>
  <c r="AI126" i="17" s="1"/>
  <c r="AH312" i="17"/>
  <c r="AI312" i="17" s="1"/>
  <c r="AH104" i="17"/>
  <c r="AI104" i="17" s="1"/>
  <c r="AH106" i="17"/>
  <c r="AI106" i="17" s="1"/>
  <c r="AH127" i="17"/>
  <c r="AI127" i="17" s="1"/>
  <c r="AH376" i="17"/>
  <c r="AI376" i="17" s="1"/>
  <c r="AH503" i="17"/>
  <c r="AI503" i="17" s="1"/>
  <c r="AH296" i="17"/>
  <c r="AI296" i="17" s="1"/>
  <c r="AH140" i="17"/>
  <c r="AI140" i="17" s="1"/>
  <c r="AH475" i="17"/>
  <c r="AI475" i="17" s="1"/>
  <c r="AH276" i="17"/>
  <c r="AI276" i="17" s="1"/>
  <c r="AH466" i="17"/>
  <c r="AI466" i="17" s="1"/>
  <c r="AH27" i="17"/>
  <c r="AI27" i="17" s="1"/>
  <c r="AH342" i="17"/>
  <c r="AI342" i="17" s="1"/>
  <c r="AH341" i="17"/>
  <c r="AI341" i="17" s="1"/>
  <c r="AH449" i="17"/>
  <c r="AI449" i="17" s="1"/>
  <c r="AH269" i="17"/>
  <c r="AI269" i="17" s="1"/>
  <c r="AF625" i="17"/>
  <c r="AI13" i="27" l="1"/>
  <c r="AK13" i="27" s="1"/>
  <c r="M16" i="29"/>
  <c r="M17" i="29" s="1"/>
  <c r="G12" i="28"/>
  <c r="B304" i="2"/>
  <c r="AI9" i="17"/>
  <c r="A426" i="2" s="1"/>
  <c r="AI7" i="17"/>
  <c r="U4" i="17" s="1"/>
  <c r="A424" i="2" l="1"/>
  <c r="B424" i="2"/>
  <c r="U5" i="17"/>
  <c r="B425" i="2" s="1"/>
  <c r="AN13" i="27"/>
  <c r="AM13" i="27"/>
  <c r="G14" i="28"/>
  <c r="A639" i="17"/>
  <c r="A640" i="17"/>
  <c r="A617" i="17"/>
  <c r="D424" i="2"/>
  <c r="A425" i="2" l="1"/>
  <c r="F617" i="17"/>
  <c r="Q617" i="17"/>
  <c r="P617" i="17"/>
  <c r="O617" i="17"/>
  <c r="R617" i="17"/>
  <c r="G617" i="17"/>
  <c r="H617" i="17"/>
  <c r="K617" i="17"/>
  <c r="N617" i="17"/>
  <c r="T617" i="17"/>
  <c r="L617" i="17"/>
  <c r="M617" i="17"/>
  <c r="J617" i="17"/>
  <c r="E617" i="17"/>
  <c r="S617" i="17"/>
  <c r="D617" i="17"/>
  <c r="A618" i="17"/>
  <c r="A619" i="17" s="1"/>
  <c r="C617" i="17"/>
  <c r="I617" i="17"/>
  <c r="U617" i="17" l="1"/>
  <c r="V617" i="17"/>
  <c r="V620" i="17" s="1"/>
  <c r="AB617" i="17"/>
  <c r="AF617" i="17"/>
  <c r="AC617" i="17"/>
  <c r="AE617" i="17"/>
  <c r="W617"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BDATSC</author>
  </authors>
  <commentList>
    <comment ref="A3" authorId="0" shapeId="0" xr:uid="{00000000-0006-0000-0000-000001000000}">
      <text>
        <r>
          <rPr>
            <b/>
            <sz val="12"/>
            <color indexed="10"/>
            <rFont val="Tahoma"/>
            <family val="2"/>
          </rPr>
          <t>Welcome to the LM(2)5148/-Q1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LM5148/-Q1 and LM25148/-Q1 synchronous buck controller family</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http://www.ti.com/power</t>
        </r>
        <r>
          <rPr>
            <sz val="9"/>
            <color indexed="81"/>
            <rFont val="Tahoma"/>
            <family val="2"/>
          </rPr>
          <t xml:space="preserve">
</t>
        </r>
        <r>
          <rPr>
            <b/>
            <sz val="9"/>
            <color indexed="81"/>
            <rFont val="Tahoma"/>
            <family val="2"/>
          </rPr>
          <t xml:space="preserve">
Rev A4, Timothy Hegarty, Texas Instruments, Inc.</t>
        </r>
      </text>
    </comment>
    <comment ref="N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LM(2)5148/-Q1 product datasheet and EVM user's guide for more details.
</t>
        </r>
        <r>
          <rPr>
            <b/>
            <sz val="9"/>
            <color indexed="81"/>
            <rFont val="Tahoma"/>
            <family val="2"/>
          </rPr>
          <t>Rev A4, Timothy Hegarty, Texas Instruments, Inc.</t>
        </r>
      </text>
    </comment>
    <comment ref="F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minimum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80V (42V)</t>
        </r>
        <r>
          <rPr>
            <sz val="9"/>
            <color indexed="81"/>
            <rFont val="Tahoma"/>
            <family val="2"/>
          </rPr>
          <t xml:space="preserve">
-The input voltage is below </t>
        </r>
        <r>
          <rPr>
            <b/>
            <sz val="9"/>
            <color indexed="10"/>
            <rFont val="Tahoma"/>
            <family val="2"/>
          </rPr>
          <t>3.5V</t>
        </r>
      </text>
    </comment>
    <comment ref="F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V</t>
        </r>
        <r>
          <rPr>
            <b/>
            <vertAlign val="subscript"/>
            <sz val="9"/>
            <color indexed="10"/>
            <rFont val="Tahoma"/>
            <family val="2"/>
          </rPr>
          <t>IN(max)</t>
        </r>
        <r>
          <rPr>
            <sz val="9"/>
            <color indexed="81"/>
            <rFont val="Tahoma"/>
            <family val="2"/>
          </rPr>
          <t xml:space="preserve">
-The input voltage is below </t>
        </r>
        <r>
          <rPr>
            <b/>
            <sz val="9"/>
            <color indexed="10"/>
            <rFont val="Tahoma"/>
            <family val="2"/>
          </rPr>
          <t>V</t>
        </r>
        <r>
          <rPr>
            <b/>
            <vertAlign val="subscript"/>
            <sz val="9"/>
            <color indexed="10"/>
            <rFont val="Tahoma"/>
            <family val="2"/>
          </rPr>
          <t>IN(min)</t>
        </r>
      </text>
    </comment>
    <comment ref="F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maximum operating input voltage.
The LM(2)5148-Q1 input voltage operating range is 3.5V to 80V (42V).
</t>
        </r>
        <r>
          <rPr>
            <b/>
            <sz val="9"/>
            <color indexed="81"/>
            <rFont val="Tahoma"/>
            <family val="2"/>
          </rPr>
          <t>The text in the cell is flagged red if:</t>
        </r>
        <r>
          <rPr>
            <sz val="9"/>
            <color indexed="81"/>
            <rFont val="Tahoma"/>
            <family val="2"/>
          </rPr>
          <t xml:space="preserve">
-The input voltage is above </t>
        </r>
        <r>
          <rPr>
            <b/>
            <sz val="9"/>
            <color indexed="10"/>
            <rFont val="Tahoma"/>
            <family val="2"/>
          </rPr>
          <t>80V (42V)</t>
        </r>
        <r>
          <rPr>
            <sz val="9"/>
            <color indexed="81"/>
            <rFont val="Tahoma"/>
            <family val="2"/>
          </rPr>
          <t xml:space="preserve">
-The input voltage is below </t>
        </r>
        <r>
          <rPr>
            <b/>
            <sz val="9"/>
            <color indexed="10"/>
            <rFont val="Tahoma"/>
            <family val="2"/>
          </rPr>
          <t>3.5V</t>
        </r>
      </text>
    </comment>
    <comment ref="F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The text in the cell is flagged red if:
</t>
        </r>
        <r>
          <rPr>
            <b/>
            <sz val="9"/>
            <color indexed="10"/>
            <rFont val="Tahoma"/>
            <family val="2"/>
          </rPr>
          <t>-The output voltage is above 55V 
-The output voltage is below 0.8V</t>
        </r>
      </text>
    </comment>
    <comment ref="F11" authorId="0" shapeId="0" xr:uid="{00000000-0006-0000-0000-000007000000}">
      <text>
        <r>
          <rPr>
            <b/>
            <u/>
            <sz val="9"/>
            <color indexed="81"/>
            <rFont val="Tahoma"/>
            <family val="2"/>
          </rPr>
          <t>Switching Frequency</t>
        </r>
        <r>
          <rPr>
            <b/>
            <sz val="9"/>
            <color indexed="81"/>
            <rFont val="Tahoma"/>
            <family val="2"/>
          </rPr>
          <t xml:space="preserve"> (set by R</t>
        </r>
        <r>
          <rPr>
            <b/>
            <vertAlign val="subscript"/>
            <sz val="9"/>
            <color indexed="81"/>
            <rFont val="Tahoma"/>
            <family val="2"/>
          </rPr>
          <t>T</t>
        </r>
        <r>
          <rPr>
            <b/>
            <sz val="9"/>
            <color indexed="81"/>
            <rFont val="Tahoma"/>
            <family val="2"/>
          </rPr>
          <t>):</t>
        </r>
        <r>
          <rPr>
            <sz val="9"/>
            <color indexed="81"/>
            <rFont val="Tahoma"/>
            <family val="2"/>
          </rPr>
          <t xml:space="preserve">
This cell defines the switching frequency set by the R</t>
        </r>
        <r>
          <rPr>
            <vertAlign val="subscript"/>
            <sz val="9"/>
            <color indexed="81"/>
            <rFont val="Tahoma"/>
            <family val="2"/>
          </rPr>
          <t>T</t>
        </r>
        <r>
          <rPr>
            <sz val="9"/>
            <color indexed="81"/>
            <rFont val="Tahoma"/>
            <family val="2"/>
          </rPr>
          <t xml:space="preserve"> resistor, or by connecting an appropriate SYNC IN signal to the PFM/SYNC pin.
The frequency set by RT can be [100kHz - 2.2MHz] but can be synced ±20% of this freee-running frequency.
</t>
        </r>
        <r>
          <rPr>
            <b/>
            <sz val="9"/>
            <color indexed="81"/>
            <rFont val="Tahoma"/>
            <family val="2"/>
          </rPr>
          <t xml:space="preserve">The text in the cell is flagged red if:
</t>
        </r>
        <r>
          <rPr>
            <b/>
            <sz val="9"/>
            <color indexed="10"/>
            <rFont val="Tahoma"/>
            <family val="2"/>
          </rPr>
          <t xml:space="preserve">
- The frequency is below 100 kHz
- The frequency is above 2.2 MHz</t>
        </r>
        <r>
          <rPr>
            <sz val="11"/>
            <color indexed="81"/>
            <rFont val="Tahoma"/>
            <family val="2"/>
          </rPr>
          <t xml:space="preserve">
</t>
        </r>
      </text>
    </comment>
    <comment ref="F16" authorId="0" shapeId="0" xr:uid="{00000000-0006-0000-0000-000008000000}">
      <text>
        <r>
          <rPr>
            <b/>
            <u/>
            <sz val="9"/>
            <color indexed="81"/>
            <rFont val="Tahoma"/>
            <family val="2"/>
          </rPr>
          <t>OCP Setpoint</t>
        </r>
        <r>
          <rPr>
            <b/>
            <sz val="9"/>
            <color indexed="81"/>
            <rFont val="Tahoma"/>
            <family val="2"/>
          </rPr>
          <t xml:space="preserve">:
</t>
        </r>
        <r>
          <rPr>
            <sz val="9"/>
            <color indexed="81"/>
            <rFont val="Tahoma"/>
            <family val="2"/>
          </rPr>
          <t>Enter the required overcurrent protection (OCP) setpoint for output current. A typical level is 140% of full load current.</t>
        </r>
      </text>
    </comment>
    <comment ref="F17" authorId="0" shapeId="0" xr:uid="{00000000-0006-0000-0000-000009000000}">
      <text>
        <r>
          <rPr>
            <b/>
            <u/>
            <sz val="9"/>
            <color indexed="81"/>
            <rFont val="Tahoma"/>
            <family val="2"/>
          </rPr>
          <t>Sense Resistance</t>
        </r>
        <r>
          <rPr>
            <b/>
            <sz val="9"/>
            <color indexed="81"/>
            <rFont val="Tahoma"/>
            <family val="2"/>
          </rPr>
          <t>:</t>
        </r>
        <r>
          <rPr>
            <sz val="9"/>
            <color indexed="81"/>
            <rFont val="Tahoma"/>
            <family val="2"/>
          </rPr>
          <t xml:space="preserve">
Use this resistor to sense current and set the cycle-by-cycle overcurrent protection. As such, the calculation takes the required current limit setpoint and the inductor ripple current amplitude to calculate </t>
        </r>
        <r>
          <rPr>
            <b/>
            <sz val="9"/>
            <color indexed="81"/>
            <rFont val="Tahoma"/>
            <family val="2"/>
          </rPr>
          <t>R</t>
        </r>
        <r>
          <rPr>
            <b/>
            <vertAlign val="subscript"/>
            <sz val="9"/>
            <color indexed="81"/>
            <rFont val="Tahoma"/>
            <family val="2"/>
          </rPr>
          <t>S</t>
        </r>
        <r>
          <rPr>
            <sz val="9"/>
            <color indexed="81"/>
            <rFont val="Tahoma"/>
            <family val="2"/>
          </rPr>
          <t>.</t>
        </r>
      </text>
    </comment>
    <comment ref="F19" authorId="0" shapeId="0" xr:uid="{00000000-0006-0000-0000-00000A000000}">
      <text>
        <r>
          <rPr>
            <b/>
            <u/>
            <sz val="9"/>
            <color indexed="81"/>
            <rFont val="Tahoma"/>
            <family val="2"/>
          </rPr>
          <t>Minimum Inductor Saturation Current</t>
        </r>
        <r>
          <rPr>
            <b/>
            <sz val="9"/>
            <color indexed="81"/>
            <rFont val="Tahoma"/>
            <family val="2"/>
          </rPr>
          <t>:</t>
        </r>
        <r>
          <rPr>
            <sz val="9"/>
            <color indexed="81"/>
            <rFont val="Tahoma"/>
            <family val="2"/>
          </rPr>
          <t xml:space="preserve">
Maximum peak current in the inductor. The result corresponds to onset of current limit and is intended as a guide to inductor selection as it relates to saturation current level.</t>
        </r>
      </text>
    </comment>
    <comment ref="F20" authorId="0" shapeId="0" xr:uid="{00000000-0006-0000-0000-00000B000000}">
      <text>
        <r>
          <rPr>
            <b/>
            <u/>
            <sz val="9"/>
            <color indexed="81"/>
            <rFont val="Tahoma"/>
            <family val="2"/>
          </rPr>
          <t>Max Shunt Dissipation</t>
        </r>
        <r>
          <rPr>
            <b/>
            <sz val="9"/>
            <color indexed="81"/>
            <rFont val="Tahoma"/>
            <family val="2"/>
          </rPr>
          <t>:</t>
        </r>
        <r>
          <rPr>
            <sz val="9"/>
            <color indexed="81"/>
            <rFont val="Tahoma"/>
            <family val="2"/>
          </rPr>
          <t xml:space="preserve">
Maximum power loss in the shunt resistor occurs at V</t>
        </r>
        <r>
          <rPr>
            <vertAlign val="subscript"/>
            <sz val="9"/>
            <color indexed="81"/>
            <rFont val="Tahoma"/>
            <family val="2"/>
          </rPr>
          <t>IN(min)</t>
        </r>
        <r>
          <rPr>
            <sz val="9"/>
            <color indexed="81"/>
            <rFont val="Tahoma"/>
            <family val="2"/>
          </rPr>
          <t xml:space="preserve">. The result is provided at the load current corresponding to the onset of OCP.
</t>
        </r>
      </text>
    </comment>
    <comment ref="F21" authorId="0" shapeId="0" xr:uid="{00000000-0006-0000-0000-00000C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minimum input voltage</t>
        </r>
        <r>
          <rPr>
            <sz val="9"/>
            <color indexed="81"/>
            <rFont val="Tahoma"/>
            <family val="2"/>
          </rPr>
          <t>.</t>
        </r>
      </text>
    </comment>
    <comment ref="F22" authorId="0" shapeId="0" xr:uid="{00000000-0006-0000-0000-00000D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nominal input voltage</t>
        </r>
        <r>
          <rPr>
            <sz val="9"/>
            <color indexed="81"/>
            <rFont val="Tahoma"/>
            <family val="2"/>
          </rPr>
          <t>.</t>
        </r>
      </text>
    </comment>
    <comment ref="F23" authorId="0" shapeId="0" xr:uid="{00000000-0006-0000-0000-00000E000000}">
      <text>
        <r>
          <rPr>
            <b/>
            <u/>
            <sz val="9"/>
            <color indexed="81"/>
            <rFont val="Tahoma"/>
            <family val="2"/>
          </rPr>
          <t>Output Current at OCP Inception</t>
        </r>
        <r>
          <rPr>
            <b/>
            <sz val="9"/>
            <color indexed="81"/>
            <rFont val="Tahoma"/>
            <family val="2"/>
          </rPr>
          <t>:</t>
        </r>
        <r>
          <rPr>
            <sz val="9"/>
            <color indexed="81"/>
            <rFont val="Tahoma"/>
            <family val="2"/>
          </rPr>
          <t xml:space="preserve">
The result here corresponds to the output current near the onset of overcurrent protection while operating at </t>
        </r>
        <r>
          <rPr>
            <b/>
            <sz val="9"/>
            <color indexed="81"/>
            <rFont val="Tahoma"/>
            <family val="2"/>
          </rPr>
          <t>maximum input voltage</t>
        </r>
        <r>
          <rPr>
            <sz val="9"/>
            <color indexed="81"/>
            <rFont val="Tahoma"/>
            <family val="2"/>
          </rPr>
          <t>.</t>
        </r>
      </text>
    </comment>
    <comment ref="F26" authorId="1" shapeId="0" xr:uid="{00000000-0006-0000-0000-00000F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ramp contribution.</t>
        </r>
      </text>
    </comment>
    <comment ref="F27" authorId="0" shapeId="0" xr:uid="{00000000-0006-0000-0000-000010000000}">
      <text>
        <r>
          <rPr>
            <b/>
            <u/>
            <sz val="9"/>
            <color indexed="81"/>
            <rFont val="Tahoma"/>
            <family val="2"/>
          </rPr>
          <t>Buck Inductance</t>
        </r>
        <r>
          <rPr>
            <b/>
            <sz val="9"/>
            <color indexed="81"/>
            <rFont val="Tahoma"/>
            <family val="2"/>
          </rPr>
          <t xml:space="preserve">:
</t>
        </r>
        <r>
          <rPr>
            <sz val="9"/>
            <color indexed="81"/>
            <rFont val="Tahoma"/>
            <family val="2"/>
          </rPr>
          <t>Enter the buck inductance here.
Setting the inductance equal to the recommended value gives ideal (one times inductor current downlope) slope compensation. As 0.5 times inductor current downslope is the absolute minimum slope comp requirement, do not choose an inductance greater than twice the recommended.</t>
        </r>
      </text>
    </comment>
    <comment ref="F28" authorId="0" shapeId="0" xr:uid="{00000000-0006-0000-0000-000011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33" authorId="0" shapeId="0" xr:uid="{00000000-0006-0000-0000-000012000000}">
      <text>
        <r>
          <rPr>
            <b/>
            <u/>
            <sz val="9"/>
            <color indexed="81"/>
            <rFont val="Tahoma"/>
            <family val="2"/>
          </rPr>
          <t>Output Voltage Ripple</t>
        </r>
        <r>
          <rPr>
            <b/>
            <sz val="9"/>
            <color indexed="81"/>
            <rFont val="Tahoma"/>
            <family val="2"/>
          </rPr>
          <t xml:space="preserve">:
</t>
        </r>
        <r>
          <rPr>
            <sz val="9"/>
            <color indexed="81"/>
            <rFont val="Tahoma"/>
            <family val="2"/>
          </rPr>
          <t xml:space="preserve">Enter the desired maximum peak-to-peak output voltage ripple here. This will set the ideal output capacitance value.
</t>
        </r>
        <r>
          <rPr>
            <b/>
            <sz val="9"/>
            <color indexed="81"/>
            <rFont val="Tahoma"/>
            <family val="2"/>
          </rPr>
          <t xml:space="preserve">
The text in the cell is flagged red if:
</t>
        </r>
        <r>
          <rPr>
            <b/>
            <sz val="9"/>
            <color indexed="10"/>
            <rFont val="Tahoma"/>
            <family val="2"/>
          </rPr>
          <t>-The output voltage ripple is zero.</t>
        </r>
      </text>
    </comment>
    <comment ref="F35" authorId="0" shapeId="0" xr:uid="{00000000-0006-0000-0000-000013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derated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the cell is flagged red if:</t>
        </r>
        <r>
          <rPr>
            <sz val="9"/>
            <color indexed="81"/>
            <rFont val="Tahoma"/>
            <family val="2"/>
          </rPr>
          <t xml:space="preserve">
</t>
        </r>
        <r>
          <rPr>
            <b/>
            <sz val="9"/>
            <color indexed="10"/>
            <rFont val="Tahoma"/>
            <family val="2"/>
          </rPr>
          <t>-The chosen output capacitor is smaller than the minimum ideal capacitance.</t>
        </r>
      </text>
    </comment>
    <comment ref="F37" authorId="0" shapeId="0" xr:uid="{00000000-0006-0000-0000-000014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F42" authorId="0" shapeId="0" xr:uid="{00000000-0006-0000-0000-000015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thiecell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F44" authorId="0" shapeId="0" xr:uid="{00000000-0006-0000-0000-000016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the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F46" authorId="0" shapeId="0" xr:uid="{00000000-0006-0000-0000-000017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the cell is flagged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F63" authorId="0" shapeId="0" xr:uid="{00000000-0006-0000-0000-000019000000}">
      <text>
        <r>
          <rPr>
            <b/>
            <u/>
            <sz val="9"/>
            <color indexed="81"/>
            <rFont val="Tahoma"/>
            <family val="2"/>
          </rPr>
          <t>Crossover Frequency</t>
        </r>
        <r>
          <rPr>
            <b/>
            <sz val="9"/>
            <color indexed="81"/>
            <rFont val="Tahoma"/>
            <family val="2"/>
          </rPr>
          <t>:</t>
        </r>
        <r>
          <rPr>
            <sz val="9"/>
            <color indexed="81"/>
            <rFont val="Tahoma"/>
            <family val="2"/>
          </rPr>
          <t xml:space="preserve">
Enter the desired crossover frequency (usually between 10% and 15% of switching frequency, up to a max of ~100kHz). This feedback compensation components are determined based on this target performance metric.</t>
        </r>
      </text>
    </comment>
    <comment ref="F65" authorId="0" shapeId="0" xr:uid="{00000000-0006-0000-0000-00001A000000}">
      <text>
        <r>
          <rPr>
            <b/>
            <sz val="9"/>
            <color indexed="81"/>
            <rFont val="Tahoma"/>
            <family val="2"/>
          </rPr>
          <t>Upper Feedback Resistor, 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100kΩ.</t>
        </r>
      </text>
    </comment>
    <comment ref="E70" authorId="0" shapeId="0" xr:uid="{00000000-0006-0000-0000-00001B000000}">
      <text>
        <r>
          <rPr>
            <b/>
            <u/>
            <sz val="9"/>
            <color indexed="81"/>
            <rFont val="Tahoma"/>
            <family val="2"/>
          </rPr>
          <t>Selected Compensation Components</t>
        </r>
        <r>
          <rPr>
            <b/>
            <sz val="9"/>
            <color indexed="81"/>
            <rFont val="Tahoma"/>
            <family val="2"/>
          </rPr>
          <t>:</t>
        </r>
        <r>
          <rPr>
            <sz val="9"/>
            <color indexed="81"/>
            <rFont val="Tahoma"/>
            <family val="2"/>
          </rPr>
          <t xml:space="preserve">
</t>
        </r>
        <r>
          <rPr>
            <b/>
            <sz val="9"/>
            <color indexed="14"/>
            <rFont val="Tahoma"/>
            <family val="2"/>
          </rPr>
          <t>Note:</t>
        </r>
        <r>
          <rPr>
            <sz val="9"/>
            <color indexed="81"/>
            <rFont val="Tahoma"/>
            <family val="2"/>
          </rPr>
          <t xml:space="preserve">
</t>
        </r>
        <r>
          <rPr>
            <b/>
            <sz val="9"/>
            <color indexed="81"/>
            <rFont val="Tahoma"/>
            <family val="2"/>
          </rPr>
          <t>Compensation components are calculated based on the desired crossover frequency from Step 7.</t>
        </r>
        <r>
          <rPr>
            <sz val="9"/>
            <color indexed="81"/>
            <rFont val="Tahoma"/>
            <family val="2"/>
          </rPr>
          <t xml:space="preserve">
</t>
        </r>
        <r>
          <rPr>
            <b/>
            <sz val="9"/>
            <color indexed="14"/>
            <rFont val="Tahoma"/>
            <family val="2"/>
          </rPr>
          <t>Important:</t>
        </r>
        <r>
          <rPr>
            <sz val="9"/>
            <color indexed="81"/>
            <rFont val="Tahoma"/>
            <family val="2"/>
          </rPr>
          <t xml:space="preserve">
</t>
        </r>
        <r>
          <rPr>
            <b/>
            <sz val="9"/>
            <color indexed="39"/>
            <rFont val="Tahoma"/>
            <family val="2"/>
          </rPr>
          <t>1. Fix the compensation values by clicking the FIX VALUES button.</t>
        </r>
        <r>
          <rPr>
            <b/>
            <sz val="9"/>
            <color indexed="10"/>
            <rFont val="Tahoma"/>
            <family val="2"/>
          </rPr>
          <t xml:space="preserve">
</t>
        </r>
        <r>
          <rPr>
            <b/>
            <sz val="9"/>
            <color indexed="39"/>
            <rFont val="Tahoma"/>
            <family val="2"/>
          </rPr>
          <t>2. Click on RESET VALUES such that thee compensation values update with change of components or crossover frequency.</t>
        </r>
      </text>
    </comment>
    <comment ref="E82" authorId="2" shapeId="0" xr:uid="{00000000-0006-0000-0000-00001C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(at the appropriate gate drive level, typically 5V). High current designs (&gt;5A) can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F82" authorId="2" shapeId="0" xr:uid="{C182675C-ABAA-40F1-99D5-DF03B9AAB4E3}">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E83" authorId="2" shapeId="0" xr:uid="{00000000-0006-0000-0000-00001E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(at the appropriate gate drive voltage level, typically 5V).</t>
        </r>
      </text>
    </comment>
    <comment ref="F83" authorId="2" shapeId="0" xr:uid="{B6E26810-6EF6-4DBF-BD19-DEA2AA833064}">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84" authorId="2" shapeId="0" xr:uid="{00000000-0006-0000-0000-000020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affects the turn-on and-off transition times. Slow transition times result in a decrease in efficiency, especially at higher input voltages.</t>
        </r>
      </text>
    </comment>
    <comment ref="F84" authorId="2" shapeId="0" xr:uid="{04662617-41D7-4C12-ABFA-264758775BB5}">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85" authorId="2" shapeId="0" xr:uid="{00000000-0006-0000-0000-000022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high-side MOSFET gate-source charge here. </t>
        </r>
      </text>
    </comment>
    <comment ref="F85" authorId="2" shapeId="0" xr:uid="{1C760FFD-2819-47D2-900D-818CBB129C26}">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86" authorId="2" shapeId="0" xr:uid="{B8F3C8E2-E019-4295-81F8-334052B0F657}">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87" authorId="2" shapeId="0" xr:uid="{00000000-0006-0000-0000-000025000000}">
      <text>
        <r>
          <rPr>
            <b/>
            <sz val="10"/>
            <color indexed="81"/>
            <rFont val="Tahoma"/>
            <family val="2"/>
          </rPr>
          <t>Output Charge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high-side MOSFET output capacitance at nominal VIN here. </t>
        </r>
      </text>
    </comment>
    <comment ref="F87" authorId="2" shapeId="0" xr:uid="{00000000-0006-0000-0000-000026000000}">
      <text>
        <r>
          <rPr>
            <b/>
            <sz val="10"/>
            <color indexed="81"/>
            <rFont val="Tahoma"/>
            <family val="2"/>
          </rPr>
          <t>Drain-Source Capacitance (C</t>
        </r>
        <r>
          <rPr>
            <b/>
            <vertAlign val="subscript"/>
            <sz val="10"/>
            <color indexed="81"/>
            <rFont val="Tahoma"/>
            <family val="2"/>
          </rPr>
          <t>OSS</t>
        </r>
        <r>
          <rPr>
            <b/>
            <sz val="10"/>
            <color indexed="81"/>
            <rFont val="Tahoma"/>
            <family val="2"/>
          </rPr>
          <t xml:space="preserve">):
</t>
        </r>
        <r>
          <rPr>
            <sz val="10"/>
            <color indexed="81"/>
            <rFont val="Tahoma"/>
            <family val="2"/>
          </rPr>
          <t xml:space="preserve">Enter the low-side MOSFET output capacitance at nominal VIN here. </t>
        </r>
      </text>
    </comment>
    <comment ref="E88" authorId="2" shapeId="0" xr:uid="{00000000-0006-0000-0000-000027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F88" authorId="2" shapeId="0" xr:uid="{00000000-0006-0000-0000-000028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low-side MOSFET gate resistance here. </t>
        </r>
      </text>
    </comment>
    <comment ref="E89" authorId="2" shapeId="0" xr:uid="{00000000-0006-0000-0000-000029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F89" authorId="2" shapeId="0" xr:uid="{00000000-0006-0000-0000-00002A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low-side MOSFET here.</t>
        </r>
      </text>
    </comment>
    <comment ref="E90" authorId="2" shapeId="0" xr:uid="{00000000-0006-0000-0000-00002B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F90" authorId="2" shapeId="0" xr:uid="{00000000-0006-0000-0000-00002C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1" authorId="2" shapeId="0" xr:uid="{00000000-0006-0000-0000-00002D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F91" authorId="2" shapeId="0" xr:uid="{00000000-0006-0000-0000-00002E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low-side MOSFET body diode contributes power loss related to both conduction and reverse recovery losses.</t>
        </r>
      </text>
    </comment>
    <comment ref="F92" authorId="2" shapeId="0" xr:uid="{00000000-0006-0000-0000-00002F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93" authorId="2" shapeId="0" xr:uid="{00000000-0006-0000-0000-000030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F93" authorId="2" shapeId="0" xr:uid="{00000000-0006-0000-0000-000031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G96" authorId="1" shapeId="0" xr:uid="{00000000-0006-0000-0000-000032000000}">
      <text>
        <r>
          <rPr>
            <b/>
            <sz val="9"/>
            <color indexed="81"/>
            <rFont val="Tahoma"/>
            <family val="2"/>
          </rPr>
          <t xml:space="preserve">Schottky Diode Forward Voltage:
</t>
        </r>
        <r>
          <rPr>
            <sz val="9"/>
            <color indexed="81"/>
            <rFont val="Tahoma"/>
            <family val="2"/>
          </rPr>
          <t xml:space="preserve">If an antiparallel Schottky diode is used across the low-side FET, enter the forward voltage at the rated current here. If a Schottky diode is not used, enter "0" into this cell.
</t>
        </r>
      </text>
    </comment>
    <comment ref="G97" authorId="1" shapeId="0" xr:uid="{00000000-0006-0000-0000-000033000000}">
      <text>
        <r>
          <rPr>
            <b/>
            <sz val="9"/>
            <color indexed="81"/>
            <rFont val="Tahoma"/>
            <family val="2"/>
          </rPr>
          <t>Schottky Diode Reverse Recovery Charge:</t>
        </r>
        <r>
          <rPr>
            <sz val="9"/>
            <color indexed="81"/>
            <rFont val="Tahoma"/>
            <family val="2"/>
          </rPr>
          <t xml:space="preserve">
Enter the diode reverse recovery charge here.
If a Schottky diode is not used, enter "0" into this cell.</t>
        </r>
      </text>
    </comment>
    <comment ref="F102" authorId="1" shapeId="0" xr:uid="{00000000-0006-0000-0000-000034000000}">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03" authorId="1" shapeId="0" xr:uid="{00000000-0006-0000-0000-000035000000}">
      <text>
        <r>
          <rPr>
            <b/>
            <sz val="9"/>
            <color indexed="81"/>
            <rFont val="Tahoma"/>
            <family val="2"/>
          </rPr>
          <t>IC Junction Temperature:</t>
        </r>
        <r>
          <rPr>
            <sz val="9"/>
            <color indexed="81"/>
            <rFont val="Tahoma"/>
            <family val="2"/>
          </rPr>
          <t xml:space="preserve">
IC junction temperature based on specified ambient temperature and power loss estimate.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s>
  <commentList>
    <comment ref="A3" authorId="0" shapeId="0" xr:uid="{00000000-0006-0000-0100-000001000000}">
      <text>
        <r>
          <rPr>
            <b/>
            <sz val="12"/>
            <color indexed="10"/>
            <rFont val="Tahoma"/>
            <family val="2"/>
          </rPr>
          <t>Welcome to the LM5141-Q1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LM5141-Q1 synchronous buck controller</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A2, Timothy Hegarty, Texas Instruments, Inc.</t>
        </r>
      </text>
    </comment>
    <comment ref="O3" authorId="0" shapeId="0" xr:uid="{00000000-0006-0000-01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t>
        </r>
        <r>
          <rPr>
            <b/>
            <sz val="9"/>
            <color indexed="81"/>
            <rFont val="Tahoma"/>
            <family val="2"/>
          </rPr>
          <t>Rev A2, Timothy Hegarty, Texas Instruments, Inc.</t>
        </r>
      </text>
    </comment>
    <comment ref="D9" authorId="1" shapeId="0" xr:uid="{00000000-0006-0000-0100-000003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P9" authorId="1" shapeId="0" xr:uid="{00000000-0006-0000-0100-000004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Q9" authorId="1" shapeId="0" xr:uid="{00000000-0006-0000-0100-000005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Timothy Hegarty</author>
    <author>Hegarty, Timothy</author>
  </authors>
  <commentList>
    <comment ref="A3" authorId="0" shapeId="0" xr:uid="{00000000-0006-0000-0200-000001000000}">
      <text>
        <r>
          <rPr>
            <b/>
            <sz val="12"/>
            <color indexed="10"/>
            <rFont val="Tahoma"/>
            <family val="2"/>
          </rPr>
          <t>Welcome to the LM5141-Q1 Quickstart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LM5141-Q1 synchronous buck controller</t>
        </r>
        <r>
          <rPr>
            <sz val="9"/>
            <color indexed="81"/>
            <rFont val="Tahoma"/>
            <family val="2"/>
          </rPr>
          <t xml:space="preserve">. As such, the user can expeditiously arrive at an optimized design by virtue of the following:
- Determine current sense resistance, buck inductances and input and output capacitances
- Select components to set switching frequency, soft-start, hiccup time and dither
- Optimize compensation values and pole/zero placement in terms of control loop stability using crossover frequency as a performance metric
- Inspect regulator efficiency and component power dissipations vs. line and load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notationsense resistance,  is used throughout.
</t>
        </r>
        <r>
          <rPr>
            <u/>
            <sz val="9"/>
            <color indexed="12"/>
            <rFont val="Tahoma"/>
            <family val="2"/>
          </rPr>
          <t>http://www.ti.com/widevin/</t>
        </r>
        <r>
          <rPr>
            <sz val="9"/>
            <color indexed="81"/>
            <rFont val="Tahoma"/>
            <family val="2"/>
          </rPr>
          <t xml:space="preserve">
</t>
        </r>
        <r>
          <rPr>
            <b/>
            <sz val="9"/>
            <color indexed="81"/>
            <rFont val="Tahoma"/>
            <family val="2"/>
          </rPr>
          <t xml:space="preserve">
Rev A2, Timothy Hegarty, Texas Instruments, Inc.</t>
        </r>
      </text>
    </comment>
    <comment ref="O3" authorId="0" shapeId="0" xr:uid="{00000000-0006-0000-02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LM5141-Q1 product datasheet and EVM user's guide for more details.
</t>
        </r>
        <r>
          <rPr>
            <b/>
            <sz val="9"/>
            <color indexed="81"/>
            <rFont val="Tahoma"/>
            <family val="2"/>
          </rPr>
          <t>Rev A2, Timothy Hegarty, Texas Instruments, Inc.</t>
        </r>
      </text>
    </comment>
    <comment ref="D8" authorId="1" shapeId="0" xr:uid="{00000000-0006-0000-0200-000003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 ref="H8" authorId="1" shapeId="0" xr:uid="{00000000-0006-0000-0200-000004000000}">
      <text>
        <r>
          <rPr>
            <b/>
            <sz val="9"/>
            <color indexed="81"/>
            <rFont val="Tahoma"/>
            <family val="2"/>
          </rPr>
          <t>Recommended inductance:</t>
        </r>
        <r>
          <rPr>
            <sz val="9"/>
            <color indexed="81"/>
            <rFont val="Tahoma"/>
            <family val="2"/>
          </rPr>
          <t xml:space="preserve">
This is the nominal inductance that sets the faliing inductor current di/dt equal to the slope compensation contribution.</t>
        </r>
      </text>
    </comment>
  </commentList>
</comments>
</file>

<file path=xl/sharedStrings.xml><?xml version="1.0" encoding="utf-8"?>
<sst xmlns="http://schemas.openxmlformats.org/spreadsheetml/2006/main" count="1594" uniqueCount="953">
  <si>
    <t>V</t>
  </si>
  <si>
    <t>A</t>
  </si>
  <si>
    <t>kHz</t>
  </si>
  <si>
    <t>Vin</t>
  </si>
  <si>
    <t>Vout</t>
  </si>
  <si>
    <t>Iout</t>
  </si>
  <si>
    <t>Fsw</t>
  </si>
  <si>
    <t>Value</t>
  </si>
  <si>
    <t>STD Units</t>
  </si>
  <si>
    <t>Hz</t>
  </si>
  <si>
    <t>uH</t>
  </si>
  <si>
    <t>Rdcr</t>
  </si>
  <si>
    <t>Notes</t>
  </si>
  <si>
    <t>Nominal input voltage</t>
  </si>
  <si>
    <t>Don1</t>
  </si>
  <si>
    <t>Doff1</t>
  </si>
  <si>
    <t>Don2</t>
  </si>
  <si>
    <t>Doff2</t>
  </si>
  <si>
    <t>index</t>
  </si>
  <si>
    <t>H</t>
  </si>
  <si>
    <t>Ohms</t>
  </si>
  <si>
    <t>Vripple1</t>
  </si>
  <si>
    <t>Coutmin</t>
  </si>
  <si>
    <t>uF</t>
  </si>
  <si>
    <t>F</t>
  </si>
  <si>
    <t>Cout</t>
  </si>
  <si>
    <t>Fesr</t>
  </si>
  <si>
    <t>Q</t>
  </si>
  <si>
    <t>V/V</t>
  </si>
  <si>
    <t>Rfb1</t>
  </si>
  <si>
    <t>pF</t>
  </si>
  <si>
    <t>Cc1ea</t>
  </si>
  <si>
    <t>Cc2ea</t>
  </si>
  <si>
    <t>Rcea1</t>
  </si>
  <si>
    <t>Rcea1_u</t>
  </si>
  <si>
    <t>Cc1ea_u</t>
  </si>
  <si>
    <t>Cc2ea_u</t>
  </si>
  <si>
    <t>Fz1</t>
  </si>
  <si>
    <t>Pi</t>
  </si>
  <si>
    <t>Vp-p</t>
  </si>
  <si>
    <t>Rfb2</t>
  </si>
  <si>
    <t>Vref</t>
  </si>
  <si>
    <t>Ro</t>
  </si>
  <si>
    <t>xover</t>
  </si>
  <si>
    <t>phase margin</t>
  </si>
  <si>
    <t>Total</t>
  </si>
  <si>
    <t>XOVER SEARCH</t>
  </si>
  <si>
    <t>Variable Name</t>
  </si>
  <si>
    <t>Resrmax</t>
  </si>
  <si>
    <t>mΩ</t>
  </si>
  <si>
    <t>kΩ</t>
  </si>
  <si>
    <t>TERMS OF USE</t>
  </si>
  <si>
    <t>IQ</t>
  </si>
  <si>
    <t>Step</t>
  </si>
  <si>
    <t>Total Loss</t>
  </si>
  <si>
    <t>Design</t>
  </si>
  <si>
    <t>L</t>
  </si>
  <si>
    <t>Cin</t>
  </si>
  <si>
    <t>Components</t>
  </si>
  <si>
    <t>Top FET</t>
  </si>
  <si>
    <t>RdsonDRB</t>
  </si>
  <si>
    <t>RdsonDRT</t>
  </si>
  <si>
    <t>Deadtime</t>
  </si>
  <si>
    <t>mOhms</t>
  </si>
  <si>
    <t>mA</t>
  </si>
  <si>
    <t>nC</t>
  </si>
  <si>
    <t>S</t>
  </si>
  <si>
    <t>QgBot</t>
  </si>
  <si>
    <t>RdsonBot</t>
  </si>
  <si>
    <t>GfsTop</t>
  </si>
  <si>
    <t>QgTop</t>
  </si>
  <si>
    <t>RdsonTop</t>
  </si>
  <si>
    <t>VsdBot</t>
  </si>
  <si>
    <t>QrrBot</t>
  </si>
  <si>
    <t>TrrBot</t>
  </si>
  <si>
    <t>ns</t>
  </si>
  <si>
    <t>Units</t>
  </si>
  <si>
    <t>Outputs</t>
  </si>
  <si>
    <t>Dprime</t>
  </si>
  <si>
    <t>RdsonTopTc</t>
  </si>
  <si>
    <t>RdsonBotTc</t>
  </si>
  <si>
    <t>ppm</t>
  </si>
  <si>
    <t>LTc</t>
  </si>
  <si>
    <t>Ta</t>
  </si>
  <si>
    <t>Irms</t>
  </si>
  <si>
    <t>RCoutEsr</t>
  </si>
  <si>
    <t>RCinEsr</t>
  </si>
  <si>
    <t>DCR    Loss</t>
  </si>
  <si>
    <t>Tr</t>
  </si>
  <si>
    <t>Tf</t>
  </si>
  <si>
    <t>RGateTop</t>
  </si>
  <si>
    <t>RGateBot</t>
  </si>
  <si>
    <t>VthTop</t>
  </si>
  <si>
    <t>Reverse Recovery Loss</t>
  </si>
  <si>
    <t>Switching Frequency</t>
  </si>
  <si>
    <t>Max Output Current</t>
  </si>
  <si>
    <t>Ambient Temperature</t>
  </si>
  <si>
    <t>Inductor Series Resistance Temp Co</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</si>
  <si>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</si>
  <si>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</si>
  <si>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</si>
  <si>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</si>
  <si>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</si>
  <si>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</si>
  <si>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</si>
  <si>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</si>
  <si>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</si>
  <si>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</si>
  <si>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</si>
  <si>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Drain to Source Resistance Temp Co</t>
  </si>
  <si>
    <t>Reverse Recovery Charge of Body Diode</t>
  </si>
  <si>
    <t>Input Value</t>
  </si>
  <si>
    <t>Top Driver</t>
  </si>
  <si>
    <t>Bottom Driver</t>
  </si>
  <si>
    <t>Part Power</t>
  </si>
  <si>
    <t>Power Dis</t>
  </si>
  <si>
    <t>W</t>
  </si>
  <si>
    <t>Controller</t>
  </si>
  <si>
    <t>Theta Ja</t>
  </si>
  <si>
    <t>Temp rise</t>
  </si>
  <si>
    <t>QgdTop</t>
  </si>
  <si>
    <t>Gate to Drain Charge</t>
  </si>
  <si>
    <t>Qg</t>
  </si>
  <si>
    <t>VspTop</t>
  </si>
  <si>
    <t>QgsTop</t>
  </si>
  <si>
    <t>RdsonDRB2</t>
  </si>
  <si>
    <t>RdsonDRT2</t>
  </si>
  <si>
    <t>Efficiency</t>
  </si>
  <si>
    <t xml:space="preserve">IQ </t>
  </si>
  <si>
    <t>ThetaCa</t>
  </si>
  <si>
    <t>Core to Ambient Thermal Resistance</t>
  </si>
  <si>
    <t>Quiescent Current Of Controller (Not Switching!)</t>
  </si>
  <si>
    <t>This pole cancels the zero from the Output Cap ESR</t>
  </si>
  <si>
    <t>s</t>
  </si>
  <si>
    <t>C</t>
  </si>
  <si>
    <t>Switching Current Loss</t>
  </si>
  <si>
    <t>Rfb2_u</t>
  </si>
  <si>
    <t>CoutEsr</t>
  </si>
  <si>
    <t>Ω</t>
  </si>
  <si>
    <t>Step 4: Output Capacitor</t>
  </si>
  <si>
    <t>Step 5: Input Capacitor</t>
  </si>
  <si>
    <t>nF</t>
  </si>
  <si>
    <t>R1</t>
  </si>
  <si>
    <t>R2</t>
  </si>
  <si>
    <t>VIN</t>
  </si>
  <si>
    <t>= Input Box</t>
  </si>
  <si>
    <t>Input capacitance</t>
  </si>
  <si>
    <t>Step 1: Operational Specs</t>
  </si>
  <si>
    <t>Tss</t>
  </si>
  <si>
    <t>Iss</t>
  </si>
  <si>
    <t>Css</t>
  </si>
  <si>
    <t>C1</t>
  </si>
  <si>
    <t>C2</t>
  </si>
  <si>
    <t>%</t>
  </si>
  <si>
    <t xml:space="preserve">I1 </t>
  </si>
  <si>
    <t xml:space="preserve">I2 </t>
  </si>
  <si>
    <t>Part Number</t>
  </si>
  <si>
    <t>Capacitors</t>
  </si>
  <si>
    <t>(pF)</t>
  </si>
  <si>
    <t>Standard Result</t>
  </si>
  <si>
    <t>Inputs</t>
  </si>
  <si>
    <t>Css_u</t>
  </si>
  <si>
    <t>Resistors</t>
  </si>
  <si>
    <t>inputs</t>
  </si>
  <si>
    <t>Rs</t>
  </si>
  <si>
    <t xml:space="preserve">                </t>
  </si>
  <si>
    <t>Cc1</t>
  </si>
  <si>
    <t>Cc2</t>
  </si>
  <si>
    <t>Rc1</t>
  </si>
  <si>
    <t>Other Input Variables</t>
  </si>
  <si>
    <t>Rfets</t>
  </si>
  <si>
    <t>cap loss eq res</t>
  </si>
  <si>
    <t>Fet loss eq res</t>
  </si>
  <si>
    <t>Diode loss eq res</t>
  </si>
  <si>
    <t>Sw cap</t>
  </si>
  <si>
    <t xml:space="preserve"> </t>
  </si>
  <si>
    <t>Rc1ea</t>
  </si>
  <si>
    <t>Frequency of Ringing</t>
  </si>
  <si>
    <t>MHz</t>
  </si>
  <si>
    <t>STD UNITS</t>
  </si>
  <si>
    <t>UNITS</t>
  </si>
  <si>
    <t>SW capacitance</t>
  </si>
  <si>
    <t>Csnub</t>
  </si>
  <si>
    <t>Lpar</t>
  </si>
  <si>
    <t>nH</t>
  </si>
  <si>
    <t>Rsnub</t>
  </si>
  <si>
    <t>Rset</t>
  </si>
  <si>
    <t>Blank out</t>
  </si>
  <si>
    <t>Input from user =</t>
  </si>
  <si>
    <t>Constant</t>
  </si>
  <si>
    <t>Step 8: Efficiency</t>
  </si>
  <si>
    <t>Vripple</t>
  </si>
  <si>
    <t>VfdSky</t>
  </si>
  <si>
    <t>QrrSky</t>
  </si>
  <si>
    <t>Ireverse</t>
  </si>
  <si>
    <t>Diode Forward Voltage</t>
  </si>
  <si>
    <t>Diode Reverse Recovery Charge</t>
  </si>
  <si>
    <t>Reverse Leakage Current</t>
  </si>
  <si>
    <t>External Diode</t>
  </si>
  <si>
    <t xml:space="preserve">Dead Time Loss </t>
  </si>
  <si>
    <t>VsdTop</t>
  </si>
  <si>
    <t>Switching Current Diss</t>
  </si>
  <si>
    <t>°C/W</t>
  </si>
  <si>
    <t>SCHEMATIC LABELS</t>
  </si>
  <si>
    <t>OUTPUT CURRENT</t>
  </si>
  <si>
    <t>Dmax</t>
  </si>
  <si>
    <t>Ipp</t>
  </si>
  <si>
    <t>Current (switching)</t>
  </si>
  <si>
    <t>Qrr Current</t>
  </si>
  <si>
    <t>Diode Current</t>
  </si>
  <si>
    <t>Std Units</t>
  </si>
  <si>
    <t>Total Application Switching IQ</t>
  </si>
  <si>
    <t>CIN</t>
  </si>
  <si>
    <t>DCR at hot</t>
  </si>
  <si>
    <t>µH</t>
  </si>
  <si>
    <t>µF</t>
  </si>
  <si>
    <t>Cinmin</t>
  </si>
  <si>
    <t>Vinripple1</t>
  </si>
  <si>
    <t>CinEsrMax</t>
  </si>
  <si>
    <t>Vinripple2</t>
  </si>
  <si>
    <t>Output =</t>
  </si>
  <si>
    <t>Bottom Schottky</t>
  </si>
  <si>
    <t>Step 1: Operating Specifications</t>
  </si>
  <si>
    <t>°C</t>
  </si>
  <si>
    <t>Std Values</t>
  </si>
  <si>
    <t>Compensation Components</t>
  </si>
  <si>
    <t>Actual P/Z Frequencies</t>
  </si>
  <si>
    <r>
      <t>C</t>
    </r>
    <r>
      <rPr>
        <b/>
        <vertAlign val="subscript"/>
        <sz val="10"/>
        <rFont val="Arial"/>
        <family val="2"/>
      </rPr>
      <t>C1</t>
    </r>
  </si>
  <si>
    <r>
      <t>C</t>
    </r>
    <r>
      <rPr>
        <b/>
        <vertAlign val="subscript"/>
        <sz val="10"/>
        <rFont val="Arial"/>
        <family val="2"/>
      </rPr>
      <t>C2</t>
    </r>
  </si>
  <si>
    <t>Efficiency / Power Loss Analyzer</t>
  </si>
  <si>
    <t>Step 7: Compensation Design</t>
  </si>
  <si>
    <t>Calculated /</t>
  </si>
  <si>
    <t>About</t>
  </si>
  <si>
    <t>xx</t>
  </si>
  <si>
    <t>Max ESR before ripple exceeds Vripple1</t>
  </si>
  <si>
    <t>Chosen ESR</t>
  </si>
  <si>
    <t>Input capacitance series resistance (ESR)</t>
  </si>
  <si>
    <t>kΩ</t>
  </si>
  <si>
    <t>Size</t>
  </si>
  <si>
    <t>MFR</t>
  </si>
  <si>
    <t>Std</t>
  </si>
  <si>
    <t>See description</t>
  </si>
  <si>
    <t>TI</t>
  </si>
  <si>
    <t>0603</t>
  </si>
  <si>
    <r>
      <t>C</t>
    </r>
    <r>
      <rPr>
        <vertAlign val="subscript"/>
        <sz val="10"/>
        <rFont val="Arial"/>
        <family val="2"/>
      </rPr>
      <t>IN</t>
    </r>
  </si>
  <si>
    <r>
      <t>C</t>
    </r>
    <r>
      <rPr>
        <vertAlign val="subscript"/>
        <sz val="10"/>
        <rFont val="Arial"/>
        <family val="2"/>
      </rPr>
      <t>OUT</t>
    </r>
  </si>
  <si>
    <t>Ref Des</t>
  </si>
  <si>
    <t>Count</t>
  </si>
  <si>
    <t>Various</t>
  </si>
  <si>
    <t>-</t>
  </si>
  <si>
    <r>
      <t>R</t>
    </r>
    <r>
      <rPr>
        <vertAlign val="subscript"/>
        <sz val="10"/>
        <rFont val="Arial"/>
        <family val="2"/>
      </rPr>
      <t>VIN</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</si>
  <si>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</si>
  <si>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</si>
  <si>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</si>
  <si>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</si>
  <si>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</si>
  <si>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 of input caps</t>
  </si>
  <si>
    <t>Capacitance per component (Cin)</t>
  </si>
  <si>
    <t>Capacitance per component (Cout)</t>
  </si>
  <si>
    <t># of output caps</t>
  </si>
  <si>
    <t>Ω</t>
  </si>
  <si>
    <r>
      <rPr>
        <b/>
        <u/>
        <sz val="10"/>
        <rFont val="Arial"/>
        <family val="2"/>
      </rPr>
      <t>NOTES</t>
    </r>
    <r>
      <rPr>
        <b/>
        <sz val="10"/>
        <rFont val="Arial"/>
        <family val="2"/>
      </rPr>
      <t>:</t>
    </r>
  </si>
  <si>
    <t>Series resistance due to FETs</t>
  </si>
  <si>
    <t>Output Resistance</t>
  </si>
  <si>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</si>
  <si>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</si>
  <si>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</si>
  <si>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</si>
  <si>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</si>
  <si>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</si>
  <si>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</si>
  <si>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t>%/°C</t>
  </si>
  <si>
    <t>Rt</t>
  </si>
  <si>
    <r>
      <t>Frequency Set Resistor, R</t>
    </r>
    <r>
      <rPr>
        <vertAlign val="subscript"/>
        <sz val="10"/>
        <rFont val="Arial"/>
        <family val="2"/>
      </rPr>
      <t>T</t>
    </r>
    <r>
      <rPr>
        <sz val="10"/>
        <rFont val="Arial"/>
        <family val="2"/>
      </rPr>
      <t xml:space="preserve"> </t>
    </r>
  </si>
  <si>
    <r>
      <t>V</t>
    </r>
    <r>
      <rPr>
        <vertAlign val="subscript"/>
        <sz val="10"/>
        <color theme="1"/>
        <rFont val="Arial"/>
        <family val="2"/>
      </rPr>
      <t>IN(min)</t>
    </r>
  </si>
  <si>
    <r>
      <t>V</t>
    </r>
    <r>
      <rPr>
        <vertAlign val="subscript"/>
        <sz val="10"/>
        <color theme="1"/>
        <rFont val="Arial"/>
        <family val="2"/>
      </rPr>
      <t>IN(nom)</t>
    </r>
  </si>
  <si>
    <r>
      <t>V</t>
    </r>
    <r>
      <rPr>
        <vertAlign val="subscript"/>
        <sz val="10"/>
        <color theme="1"/>
        <rFont val="Arial"/>
        <family val="2"/>
      </rPr>
      <t>IN(max)</t>
    </r>
  </si>
  <si>
    <t>VIN_max</t>
  </si>
  <si>
    <t>VIN_min</t>
  </si>
  <si>
    <t>Minimum input voltage</t>
  </si>
  <si>
    <t>Maximum input voltage</t>
  </si>
  <si>
    <t>mV</t>
  </si>
  <si>
    <t>Ideal Duty Cycle at VIN(nom)</t>
  </si>
  <si>
    <t>Ideal 1- Duty Cycle at VIN(nom)</t>
  </si>
  <si>
    <t>Pout</t>
  </si>
  <si>
    <t>Iin_Vinmin</t>
  </si>
  <si>
    <t>Iin_Vinnom</t>
  </si>
  <si>
    <t>Iin_Vinmax</t>
  </si>
  <si>
    <t>Pin</t>
  </si>
  <si>
    <t>Iripple_Vinmin</t>
  </si>
  <si>
    <t>Iripple_Vinnom</t>
  </si>
  <si>
    <t>Iripple_Vinmax</t>
  </si>
  <si>
    <t>L_Vinnom</t>
  </si>
  <si>
    <t>Lopt</t>
  </si>
  <si>
    <t>Iin</t>
  </si>
  <si>
    <r>
      <rPr>
        <sz val="10"/>
        <rFont val="Symbol"/>
        <family val="1"/>
        <charset val="2"/>
      </rPr>
      <t>D</t>
    </r>
    <r>
      <rPr>
        <sz val="10"/>
        <rFont val="Arial"/>
        <family val="2"/>
      </rPr>
      <t>I</t>
    </r>
    <r>
      <rPr>
        <vertAlign val="subscript"/>
        <sz val="10"/>
        <rFont val="Arial"/>
        <family val="2"/>
      </rPr>
      <t>L</t>
    </r>
    <r>
      <rPr>
        <sz val="10"/>
        <rFont val="Arial"/>
        <family val="2"/>
      </rPr>
      <t xml:space="preserve"> as a %</t>
    </r>
    <r>
      <rPr>
        <sz val="10"/>
        <rFont val="Arial"/>
        <family val="2"/>
      </rPr>
      <t xml:space="preserve"> at V</t>
    </r>
    <r>
      <rPr>
        <vertAlign val="subscript"/>
        <sz val="10"/>
        <rFont val="Arial"/>
        <family val="2"/>
      </rPr>
      <t>IN(nom)</t>
    </r>
  </si>
  <si>
    <t>Ilimit_DC</t>
  </si>
  <si>
    <t>Max inductor ripple current</t>
  </si>
  <si>
    <t>Output power</t>
  </si>
  <si>
    <t>Input currents at min, nom, max Vin</t>
  </si>
  <si>
    <t>Rs_ideal</t>
  </si>
  <si>
    <t>Ilimit_inductor_Vinmin</t>
  </si>
  <si>
    <t>Ilimit_inductor_Vinmax</t>
  </si>
  <si>
    <t>Ilimit_inductor_Vinnom</t>
  </si>
  <si>
    <t>Selected (starndard value) current limit sense resistor</t>
  </si>
  <si>
    <t>mΩ</t>
  </si>
  <si>
    <t>Output Cap RMS current</t>
  </si>
  <si>
    <t>Icoutrms_VINmin</t>
  </si>
  <si>
    <t>Icoutrms_VINnom</t>
  </si>
  <si>
    <t>Icoutrms_VINmax</t>
  </si>
  <si>
    <t>Cdither</t>
  </si>
  <si>
    <t>Cdither_calculated</t>
  </si>
  <si>
    <t>Cdither_stdvalue</t>
  </si>
  <si>
    <t>Rout</t>
  </si>
  <si>
    <r>
      <t xml:space="preserve">Chosen Compensation Components from the </t>
    </r>
    <r>
      <rPr>
        <b/>
        <u/>
        <sz val="10"/>
        <color indexed="10"/>
        <rFont val="Arial"/>
        <family val="2"/>
      </rPr>
      <t>standard value sheet</t>
    </r>
  </si>
  <si>
    <t>Modulator</t>
  </si>
  <si>
    <t>Total System</t>
  </si>
  <si>
    <t>Afb1</t>
  </si>
  <si>
    <t>Acs</t>
  </si>
  <si>
    <t>z1</t>
  </si>
  <si>
    <t>p3</t>
  </si>
  <si>
    <t>Adc</t>
  </si>
  <si>
    <t>z2</t>
  </si>
  <si>
    <t>Am</t>
  </si>
  <si>
    <t>p1</t>
  </si>
  <si>
    <t>pterm1</t>
  </si>
  <si>
    <t>Crossover</t>
  </si>
  <si>
    <t>p2</t>
  </si>
  <si>
    <t>pterm2</t>
  </si>
  <si>
    <t>Phase Margin</t>
  </si>
  <si>
    <t>Aea</t>
  </si>
  <si>
    <t>radconv</t>
  </si>
  <si>
    <t>p4</t>
  </si>
  <si>
    <t>k</t>
  </si>
  <si>
    <t>gm</t>
  </si>
  <si>
    <t>Power Stage</t>
  </si>
  <si>
    <t>Error Amplifier</t>
  </si>
  <si>
    <t>Sampling Double Pole</t>
  </si>
  <si>
    <t>System Response</t>
  </si>
  <si>
    <t>ERROR AMP Response</t>
  </si>
  <si>
    <t>PLANT Response</t>
  </si>
  <si>
    <t>Gain(V/V)</t>
  </si>
  <si>
    <t>Phase(rad)</t>
  </si>
  <si>
    <t>Gain (dB)</t>
  </si>
  <si>
    <t>Phase Margin (°)</t>
  </si>
  <si>
    <t>Phase (°)</t>
  </si>
  <si>
    <t>Fsquare</t>
  </si>
  <si>
    <t>Gain(dB)</t>
  </si>
  <si>
    <t>Phase(Deg)</t>
  </si>
  <si>
    <t>Pole/Zero Locations for Chart</t>
  </si>
  <si>
    <t>crossover</t>
  </si>
  <si>
    <t>System</t>
  </si>
  <si>
    <t>Plant</t>
  </si>
  <si>
    <t>Ri</t>
  </si>
  <si>
    <t>Error Amp Transconductance</t>
  </si>
  <si>
    <t>A/s</t>
  </si>
  <si>
    <t>Sn</t>
  </si>
  <si>
    <t>On-time Slope</t>
  </si>
  <si>
    <t>mc</t>
  </si>
  <si>
    <t>GBW</t>
  </si>
  <si>
    <t>Cbw</t>
  </si>
  <si>
    <t>RoEA</t>
  </si>
  <si>
    <t>AEA</t>
  </si>
  <si>
    <t>Afb</t>
  </si>
  <si>
    <t>p</t>
  </si>
  <si>
    <t>This component will largely determine the crossover frequency</t>
  </si>
  <si>
    <t>This along with Rcea1 places a pole at the output cap ESR zero</t>
  </si>
  <si>
    <t>1/(Pi*(k-0.5))</t>
  </si>
  <si>
    <t>Acs = 1/Ri</t>
  </si>
  <si>
    <t>Current Sense effective resistance = shunt resistor Rs * CS amp gain</t>
  </si>
  <si>
    <t>Fp_EA</t>
  </si>
  <si>
    <t>Fp_HF</t>
  </si>
  <si>
    <t>Off-time Slope</t>
  </si>
  <si>
    <t>Sf</t>
  </si>
  <si>
    <t>CS Amp Gain</t>
  </si>
  <si>
    <t>Slope Comp Slope - referred to inductor current</t>
  </si>
  <si>
    <t>Se_int</t>
  </si>
  <si>
    <t>Step 3: Sense Resistors, Slope Comp, Current Limit</t>
  </si>
  <si>
    <t>Q = 2/Pi = 0.636 gives ideal one-cycle damping</t>
  </si>
  <si>
    <t>Error Amp HF pole cancels zero related to Output Cap ESR</t>
  </si>
  <si>
    <t>EXCEL Variables Names/Calculations</t>
  </si>
  <si>
    <t>Resulting Pole/Zero Locations</t>
  </si>
  <si>
    <t>Sn_int</t>
  </si>
  <si>
    <t>Sf_int</t>
  </si>
  <si>
    <t>Slope Comp Slope - referred to IC</t>
  </si>
  <si>
    <t>etc</t>
  </si>
  <si>
    <t>°</t>
  </si>
  <si>
    <t>Std Value Lower Feedback Resistance</t>
  </si>
  <si>
    <t>Lower Feedback Resistance</t>
  </si>
  <si>
    <t>Upper Feedback Resistance - chosen by user</t>
  </si>
  <si>
    <t>Drain-Source Resistance of Pullup High-side FET Driver</t>
  </si>
  <si>
    <t>Drain-Source Resistance of Pulldown High-side FET Driver</t>
  </si>
  <si>
    <t>Drain-Source Resistance of Pullup Low-side FET Driver</t>
  </si>
  <si>
    <t>Drain-Source Resistance of Pulldown Low-side FET Driver</t>
  </si>
  <si>
    <t>Drain-Source Resistance Temp Co</t>
  </si>
  <si>
    <t>Desired Crossover Frequency</t>
  </si>
  <si>
    <t>Cout ESR zero frequency</t>
  </si>
  <si>
    <t>Error Amp LF pole -- related to amplifier ouptut resistance and comp cap</t>
  </si>
  <si>
    <t>Buck dominant pole frequency -- note slope comp influence</t>
  </si>
  <si>
    <t>Fp_load_buck</t>
  </si>
  <si>
    <t>IC Power Disipation</t>
  </si>
  <si>
    <t>Iteration</t>
  </si>
  <si>
    <t>Output Ripple Spec (pk-pk)</t>
  </si>
  <si>
    <t>F_mod</t>
  </si>
  <si>
    <t>Am_buck</t>
  </si>
  <si>
    <t>DC Gain is Adc = AEA*Afb*Am</t>
  </si>
  <si>
    <t>A/V</t>
  </si>
  <si>
    <t>Power Stage Poles/Zeros</t>
  </si>
  <si>
    <t>Complex Pole Pair</t>
  </si>
  <si>
    <t>Divider Network &amp; EA Poles/Zeros</t>
  </si>
  <si>
    <t>mc_buck</t>
  </si>
  <si>
    <t>k_buck</t>
  </si>
  <si>
    <t>mV/μs</t>
  </si>
  <si>
    <t>Error Amp (EA)</t>
  </si>
  <si>
    <t>Estimate of efficiency</t>
  </si>
  <si>
    <r>
      <t>need to include R</t>
    </r>
    <r>
      <rPr>
        <vertAlign val="subscript"/>
        <sz val="10"/>
        <color rgb="FFFF0000"/>
        <rFont val="Arial"/>
        <family val="2"/>
      </rPr>
      <t>DS(on)</t>
    </r>
    <r>
      <rPr>
        <sz val="10"/>
        <color rgb="FFFF0000"/>
        <rFont val="Arial"/>
        <family val="2"/>
      </rPr>
      <t xml:space="preserve"> later</t>
    </r>
  </si>
  <si>
    <t>Iout_OCP_Vinmin</t>
  </si>
  <si>
    <t>Iout_OCP_Vinmax</t>
  </si>
  <si>
    <r>
      <t>Current limit setpoints (i.e. I</t>
    </r>
    <r>
      <rPr>
        <vertAlign val="subscript"/>
        <sz val="10"/>
        <rFont val="Arial"/>
        <family val="2"/>
      </rPr>
      <t>OUT</t>
    </r>
    <r>
      <rPr>
        <sz val="10"/>
        <rFont val="Arial"/>
        <family val="2"/>
      </rPr>
      <t>) after standard components are selected</t>
    </r>
  </si>
  <si>
    <t>Output voltage ripple spec(pk-pk)</t>
  </si>
  <si>
    <t>Vout ripple spec at Vin(nom)</t>
  </si>
  <si>
    <t>Load cap current during soft start</t>
  </si>
  <si>
    <t>Soft-start time</t>
  </si>
  <si>
    <t>p-dom</t>
  </si>
  <si>
    <t>p_dom</t>
  </si>
  <si>
    <t>z_ESR</t>
  </si>
  <si>
    <t>z_RHP</t>
  </si>
  <si>
    <t>Low-side MOSFET/Diode</t>
  </si>
  <si>
    <t>EA pole, p2</t>
  </si>
  <si>
    <t>EA pole, p1</t>
  </si>
  <si>
    <t>EA zero, z1</t>
  </si>
  <si>
    <t>Fp_dominant</t>
  </si>
  <si>
    <t>p_sampling</t>
  </si>
  <si>
    <t>ESR zero</t>
  </si>
  <si>
    <t>EA pole</t>
  </si>
  <si>
    <t>EA zero</t>
  </si>
  <si>
    <t>This zero is set at or close to the dominant load pole</t>
  </si>
  <si>
    <t>Freq (Hz)</t>
  </si>
  <si>
    <t>Se_ext</t>
  </si>
  <si>
    <t>Feedback gain from Vout to FB</t>
  </si>
  <si>
    <t>EA DC gain = gm*RoEA</t>
  </si>
  <si>
    <t>EA output resistance</t>
  </si>
  <si>
    <t>EA effective bandwidth limiting capacitance = gm/(2*Pi*GBW)</t>
  </si>
  <si>
    <t>EA gain-bandwidth product</t>
  </si>
  <si>
    <t>2*Pi*Ri/gm -- scaling factor to calculate Rcomp given desired buck crossover frequency</t>
  </si>
  <si>
    <t>Diode/FET</t>
  </si>
  <si>
    <t>Iout_OCP_Vinnom</t>
  </si>
  <si>
    <r>
      <t>R</t>
    </r>
    <r>
      <rPr>
        <vertAlign val="subscript"/>
        <sz val="10"/>
        <rFont val="Arial"/>
        <family val="2"/>
      </rPr>
      <t>T</t>
    </r>
  </si>
  <si>
    <t>** Inductor saturation current should be higher than the peak inductor current at the OCP setpoint for all input voltages and operating temperatures **</t>
  </si>
  <si>
    <r>
      <rPr>
        <sz val="10"/>
        <rFont val="Symbol"/>
        <family val="1"/>
        <charset val="2"/>
      </rPr>
      <t>°</t>
    </r>
    <r>
      <rPr>
        <sz val="10"/>
        <rFont val="Arial"/>
        <family val="2"/>
      </rPr>
      <t>C</t>
    </r>
  </si>
  <si>
    <r>
      <t>m</t>
    </r>
    <r>
      <rPr>
        <sz val="10"/>
        <rFont val="Symbol"/>
        <family val="1"/>
        <charset val="2"/>
      </rPr>
      <t>W</t>
    </r>
  </si>
  <si>
    <t>μF</t>
  </si>
  <si>
    <t>Filter Inductance</t>
  </si>
  <si>
    <r>
      <t>Inductor DCR at 25</t>
    </r>
    <r>
      <rPr>
        <sz val="10"/>
        <rFont val="Symbol"/>
        <family val="1"/>
        <charset val="2"/>
      </rPr>
      <t>°</t>
    </r>
    <r>
      <rPr>
        <sz val="10"/>
        <rFont val="Arial"/>
        <family val="2"/>
      </rPr>
      <t>C</t>
    </r>
  </si>
  <si>
    <r>
      <rPr>
        <sz val="10"/>
        <rFont val="Calibri"/>
        <family val="2"/>
      </rPr>
      <t>θ</t>
    </r>
    <r>
      <rPr>
        <vertAlign val="subscript"/>
        <sz val="10"/>
        <rFont val="Arial"/>
        <family val="2"/>
      </rPr>
      <t>JA</t>
    </r>
  </si>
  <si>
    <r>
      <t>θ</t>
    </r>
    <r>
      <rPr>
        <vertAlign val="subscript"/>
        <sz val="10"/>
        <rFont val="Arial"/>
        <family val="2"/>
      </rPr>
      <t>JABot</t>
    </r>
  </si>
  <si>
    <r>
      <t>θ</t>
    </r>
    <r>
      <rPr>
        <vertAlign val="subscript"/>
        <sz val="10"/>
        <rFont val="Arial"/>
        <family val="2"/>
      </rPr>
      <t>JATop</t>
    </r>
  </si>
  <si>
    <t>θJACtrl</t>
  </si>
  <si>
    <r>
      <t>Enter the values of your design and MOSFET datasheet specifications below. Note that thermal resistance (</t>
    </r>
    <r>
      <rPr>
        <b/>
        <sz val="10"/>
        <rFont val="Calibri"/>
        <family val="2"/>
      </rPr>
      <t>θ</t>
    </r>
    <r>
      <rPr>
        <b/>
        <vertAlign val="subscript"/>
        <sz val="10"/>
        <rFont val="Arial"/>
        <family val="2"/>
      </rPr>
      <t>JA</t>
    </r>
    <r>
      <rPr>
        <b/>
        <sz val="10"/>
        <rFont val="Arial"/>
        <family val="2"/>
      </rPr>
      <t>) will change when components are placed on the PCB</t>
    </r>
  </si>
  <si>
    <t>Subregulated VCC Voltage</t>
  </si>
  <si>
    <t>Vcc</t>
  </si>
  <si>
    <t>Junction-to-ambient thermal resistance of controller</t>
  </si>
  <si>
    <r>
      <rPr>
        <sz val="10"/>
        <rFont val="Calibri"/>
        <family val="2"/>
      </rPr>
      <t>θ</t>
    </r>
    <r>
      <rPr>
        <vertAlign val="subscript"/>
        <sz val="10"/>
        <rFont val="Arial"/>
        <family val="2"/>
      </rPr>
      <t>CA</t>
    </r>
  </si>
  <si>
    <t>Inductor Core to Ambient Thermal Resistance</t>
  </si>
  <si>
    <t>Input Capacitor ESR</t>
  </si>
  <si>
    <t>Inductor DCR Temp Co</t>
  </si>
  <si>
    <t>Output Capacitor ESR</t>
  </si>
  <si>
    <t>Output Capcitance</t>
  </si>
  <si>
    <t>Input Capacitance</t>
  </si>
  <si>
    <t>Filter Inductor</t>
  </si>
  <si>
    <t>Ripple Current pk-pk</t>
  </si>
  <si>
    <t>Cout ESR Loss</t>
  </si>
  <si>
    <t>Irms Cout</t>
  </si>
  <si>
    <t>Irms Cin</t>
  </si>
  <si>
    <t>Cin ESR Loss</t>
  </si>
  <si>
    <r>
      <t>R</t>
    </r>
    <r>
      <rPr>
        <b/>
        <vertAlign val="subscript"/>
        <sz val="10"/>
        <rFont val="Arial"/>
        <family val="2"/>
      </rPr>
      <t>DS(on)</t>
    </r>
    <r>
      <rPr>
        <b/>
        <sz val="10"/>
        <rFont val="Arial"/>
        <family val="2"/>
      </rPr>
      <t xml:space="preserve"> Loss</t>
    </r>
  </si>
  <si>
    <t>Controller IC Losses</t>
  </si>
  <si>
    <t>Total IC Loss</t>
  </si>
  <si>
    <t>Deadtime Loss</t>
  </si>
  <si>
    <r>
      <t>I</t>
    </r>
    <r>
      <rPr>
        <b/>
        <vertAlign val="subscript"/>
        <sz val="10"/>
        <rFont val="Arial"/>
        <family val="2"/>
      </rPr>
      <t>Q</t>
    </r>
    <r>
      <rPr>
        <b/>
        <sz val="10"/>
        <rFont val="Arial"/>
        <family val="2"/>
      </rPr>
      <t xml:space="preserve"> Loss</t>
    </r>
  </si>
  <si>
    <t>h</t>
  </si>
  <si>
    <r>
      <t xml:space="preserve">EFF, </t>
    </r>
    <r>
      <rPr>
        <b/>
        <sz val="10"/>
        <rFont val="Symbol"/>
        <family val="1"/>
        <charset val="2"/>
      </rPr>
      <t>h</t>
    </r>
  </si>
  <si>
    <t>QrrTop</t>
  </si>
  <si>
    <t>TrrTop</t>
  </si>
  <si>
    <t>RESULTS</t>
  </si>
  <si>
    <t>Consolidated Buck/Boost Efficiency &amp; Losses</t>
  </si>
  <si>
    <t>Isense Shunt Loss</t>
  </si>
  <si>
    <t>Sense Rs</t>
  </si>
  <si>
    <t>Drain to Source Resistance of pulldown Bottom FET Driver</t>
  </si>
  <si>
    <t>Drain to Source Resistance of pullup Bottom FET Driver</t>
  </si>
  <si>
    <t>Drain to Source Resistance of pulldown Top FET Driver</t>
  </si>
  <si>
    <t>Drain to Source Resistance of pullup Top FET Driver</t>
  </si>
  <si>
    <t>Turn on of MOSFET -&gt; Rise time of current</t>
  </si>
  <si>
    <t>Turn off of MOSFET -&gt; Fall time of current</t>
  </si>
  <si>
    <t>External Schottky Diode (if applicable)</t>
  </si>
  <si>
    <r>
      <t>kHz (F</t>
    </r>
    <r>
      <rPr>
        <vertAlign val="subscript"/>
        <sz val="10"/>
        <rFont val="Arial"/>
        <family val="2"/>
      </rPr>
      <t>ZCOMP</t>
    </r>
    <r>
      <rPr>
        <sz val="10"/>
        <rFont val="Arial"/>
        <family val="2"/>
      </rPr>
      <t>)</t>
    </r>
  </si>
  <si>
    <r>
      <t>kHz (F</t>
    </r>
    <r>
      <rPr>
        <vertAlign val="subscript"/>
        <sz val="10"/>
        <rFont val="Arial"/>
        <family val="2"/>
      </rPr>
      <t>PCOMP</t>
    </r>
    <r>
      <rPr>
        <sz val="10"/>
        <rFont val="Arial"/>
        <family val="2"/>
      </rPr>
      <t>)</t>
    </r>
  </si>
  <si>
    <t>Reported Cinmin</t>
  </si>
  <si>
    <t>Reported Cout ESR max</t>
  </si>
  <si>
    <t>Reported Cin ESR max</t>
  </si>
  <si>
    <t>Chosen OCP level - based on output current</t>
  </si>
  <si>
    <r>
      <t>I</t>
    </r>
    <r>
      <rPr>
        <vertAlign val="subscript"/>
        <sz val="10"/>
        <rFont val="Arial"/>
        <family val="2"/>
      </rPr>
      <t>OUT(typ)</t>
    </r>
    <r>
      <rPr>
        <sz val="10"/>
        <rFont val="Arial"/>
        <family val="2"/>
      </rPr>
      <t xml:space="preserve"> at OCP Inception:</t>
    </r>
  </si>
  <si>
    <t>Total Cin Loss</t>
  </si>
  <si>
    <t>Inductor Cu &amp; Core Loss</t>
  </si>
  <si>
    <t>Total Cout Loss</t>
  </si>
  <si>
    <t>Total Inductor Loss</t>
  </si>
  <si>
    <t>Anti-parallel Schottky Diode (optional)</t>
  </si>
  <si>
    <r>
      <t>Q</t>
    </r>
    <r>
      <rPr>
        <vertAlign val="subscript"/>
        <sz val="10"/>
        <rFont val="Arial"/>
        <family val="2"/>
      </rPr>
      <t>1</t>
    </r>
    <r>
      <rPr>
        <sz val="10"/>
        <rFont val="Arial"/>
        <family val="2"/>
      </rPr>
      <t>, Q</t>
    </r>
    <r>
      <rPr>
        <vertAlign val="subscript"/>
        <sz val="10"/>
        <rFont val="Arial"/>
        <family val="2"/>
      </rPr>
      <t>2</t>
    </r>
  </si>
  <si>
    <t>High-side FET</t>
  </si>
  <si>
    <t>Low-side FET</t>
  </si>
  <si>
    <t>Drain-Source Resistance of Low-side FET</t>
  </si>
  <si>
    <t xml:space="preserve">Drain-Source Resistance of Top FET </t>
  </si>
  <si>
    <t>Q1: high-side</t>
  </si>
  <si>
    <t>Q2: low-side</t>
  </si>
  <si>
    <t>Rdson</t>
  </si>
  <si>
    <t>Qgd</t>
  </si>
  <si>
    <t>Qgs</t>
  </si>
  <si>
    <t>Rgate</t>
  </si>
  <si>
    <t>Gfs</t>
  </si>
  <si>
    <t>Vth</t>
  </si>
  <si>
    <t>Vsp</t>
  </si>
  <si>
    <t>Diode Forward Voltage of MOSFET Body diode</t>
  </si>
  <si>
    <t>Vsd - Buck</t>
  </si>
  <si>
    <r>
      <t>Body Diode Forward Voltage, V</t>
    </r>
    <r>
      <rPr>
        <b/>
        <vertAlign val="subscript"/>
        <sz val="10"/>
        <rFont val="Arial"/>
        <family val="2"/>
      </rPr>
      <t>BD</t>
    </r>
    <r>
      <rPr>
        <b/>
        <sz val="10"/>
        <rFont val="Arial"/>
        <family val="2"/>
      </rPr>
      <t xml:space="preserve"> </t>
    </r>
  </si>
  <si>
    <r>
      <t>Schottky Rev Recovery Charge, Q</t>
    </r>
    <r>
      <rPr>
        <b/>
        <vertAlign val="subscript"/>
        <sz val="10"/>
        <rFont val="Arial"/>
        <family val="2"/>
      </rPr>
      <t>RRsch</t>
    </r>
    <r>
      <rPr>
        <b/>
        <sz val="10"/>
        <rFont val="Arial"/>
        <family val="2"/>
      </rPr>
      <t xml:space="preserve"> </t>
    </r>
  </si>
  <si>
    <r>
      <t>Body Diode Rev Recovery Charge, Q</t>
    </r>
    <r>
      <rPr>
        <b/>
        <vertAlign val="subscript"/>
        <sz val="10"/>
        <rFont val="Arial"/>
        <family val="2"/>
      </rPr>
      <t>RR</t>
    </r>
    <r>
      <rPr>
        <b/>
        <sz val="10"/>
        <rFont val="Arial"/>
        <family val="2"/>
      </rPr>
      <t xml:space="preserve"> </t>
    </r>
  </si>
  <si>
    <r>
      <t>Gate-Source Threshold Voltage, V</t>
    </r>
    <r>
      <rPr>
        <b/>
        <vertAlign val="subscript"/>
        <sz val="10"/>
        <rFont val="Arial"/>
        <family val="2"/>
      </rPr>
      <t>TH</t>
    </r>
    <r>
      <rPr>
        <b/>
        <sz val="10"/>
        <rFont val="Arial"/>
        <family val="2"/>
      </rPr>
      <t xml:space="preserve"> </t>
    </r>
  </si>
  <si>
    <r>
      <t>Schottky Fwd Voltage, V</t>
    </r>
    <r>
      <rPr>
        <b/>
        <vertAlign val="subscript"/>
        <sz val="10"/>
        <rFont val="Arial"/>
        <family val="2"/>
      </rPr>
      <t>FWDsch</t>
    </r>
    <r>
      <rPr>
        <b/>
        <sz val="10"/>
        <rFont val="Arial"/>
        <family val="2"/>
      </rPr>
      <t xml:space="preserve"> </t>
    </r>
  </si>
  <si>
    <t xml:space="preserve">  Low-side</t>
  </si>
  <si>
    <t>Dither Modulation Frequency</t>
  </si>
  <si>
    <t>sec</t>
  </si>
  <si>
    <t>Chosen inductance</t>
  </si>
  <si>
    <t>Chosen inductor DCR</t>
  </si>
  <si>
    <t>Shunt required to get OCP at VIN(min)</t>
  </si>
  <si>
    <t>Shunt required to get OCP at VIN(nom)</t>
  </si>
  <si>
    <t>Shunt required to get OCP at VIN(max)</t>
  </si>
  <si>
    <t>Icinrms_VINmin</t>
  </si>
  <si>
    <t>Icinrms_VINnom</t>
  </si>
  <si>
    <t>Max Cout rms current</t>
  </si>
  <si>
    <t xml:space="preserve">Resulting Output Voltage Ripple (max) </t>
  </si>
  <si>
    <t xml:space="preserve">Output Capacitor RMS Current (max) </t>
  </si>
  <si>
    <t>Input Capacitor RMS Current (max)</t>
  </si>
  <si>
    <t>Max Cin rms current</t>
  </si>
  <si>
    <t>Input voltage ripple spec (pk-pk)</t>
  </si>
  <si>
    <t>Reported Coutmin</t>
  </si>
  <si>
    <t>Input Voltage Ripple Spec</t>
  </si>
  <si>
    <t>Minimum Input Capacitance</t>
  </si>
  <si>
    <t>Ishunt_rms_Vinmin</t>
  </si>
  <si>
    <t>Ishunt_rms_Vinnom</t>
  </si>
  <si>
    <t>Ishunt_rms_Vinmax</t>
  </si>
  <si>
    <t>Max shunt power loss at full load</t>
  </si>
  <si>
    <t>Shunt Loss</t>
  </si>
  <si>
    <t>Cinmin_Vinmax</t>
  </si>
  <si>
    <t>Buck 50% typically worst case</t>
  </si>
  <si>
    <t>CinEsrMax_Vinmax</t>
  </si>
  <si>
    <t>CinEsrMax_50%D</t>
  </si>
  <si>
    <t>Cinmin_50%D</t>
  </si>
  <si>
    <t>Vinripple2_Vinmax</t>
  </si>
  <si>
    <t>Vinripple2_50%D</t>
  </si>
  <si>
    <t>Calculate ripple at Vinmax and 50% duty cycle (Vin = 2*Vout)</t>
  </si>
  <si>
    <t>Calculate cap at Vinmax and 50% duty cycle (Vin = 2*Vout)</t>
  </si>
  <si>
    <t>Calculate ESR at Vinmax and 50% duty cycle (Vin = 2*Vout)</t>
  </si>
  <si>
    <t>Step 7: Compensation</t>
  </si>
  <si>
    <t>Step 6a: Soft Start</t>
  </si>
  <si>
    <t>…report highest of these</t>
  </si>
  <si>
    <t>…report this</t>
  </si>
  <si>
    <t>PLOT_TYPE</t>
  </si>
  <si>
    <t>Total Control MOSFET Loss</t>
  </si>
  <si>
    <t>Total Sync MOSFET Loss</t>
  </si>
  <si>
    <t>Core Loss</t>
  </si>
  <si>
    <t>Irms Lf</t>
  </si>
  <si>
    <t xml:space="preserve">High-side BUCK "Control" MOSFET Losses </t>
  </si>
  <si>
    <t xml:space="preserve">Low-side BUCK "Sync" MOSFET Losses </t>
  </si>
  <si>
    <t>Mode</t>
  </si>
  <si>
    <t>Operating Point Condtions</t>
  </si>
  <si>
    <t>Duty Cycle BUCK Leg</t>
  </si>
  <si>
    <t>Total MOSFET Loss</t>
  </si>
  <si>
    <t>Full-load/high line efficiency</t>
  </si>
  <si>
    <t>Half-load/mid-line efficiency</t>
  </si>
  <si>
    <t>θJA-MOSFET</t>
  </si>
  <si>
    <t>10% load</t>
  </si>
  <si>
    <t>100% load</t>
  </si>
  <si>
    <t>50% load</t>
  </si>
  <si>
    <t>VIN range</t>
  </si>
  <si>
    <t>1 = Yes, 2 = No</t>
  </si>
  <si>
    <t>http://www.ti.com/product/lm5175</t>
  </si>
  <si>
    <t>VAR</t>
  </si>
  <si>
    <t>Step 4: Output Capacitors</t>
  </si>
  <si>
    <t>Shunt or inductor DCR current sensing</t>
  </si>
  <si>
    <t>FPWM or DEM (DEMB)</t>
  </si>
  <si>
    <t>Single or dual output (MODE)</t>
  </si>
  <si>
    <t>With/without dither (DITH)</t>
  </si>
  <si>
    <t>3.3V or 5V fixed (FB1/2)</t>
  </si>
  <si>
    <t xml:space="preserve">Tie to VDDA or AGND for FPWM/DEM, respectively. </t>
  </si>
  <si>
    <t>VIN_nom</t>
  </si>
  <si>
    <t>Load resistance - Channel 1</t>
  </si>
  <si>
    <t>Calculate input power assuming finite efficiency</t>
  </si>
  <si>
    <t>Single/Dual Yes/No</t>
  </si>
  <si>
    <t>Output voltage - channel 1</t>
  </si>
  <si>
    <t>Output current - channel 1</t>
  </si>
  <si>
    <t>Switching period</t>
  </si>
  <si>
    <t>Reference voltage</t>
  </si>
  <si>
    <t>Frequency set resistor</t>
  </si>
  <si>
    <t>Nominal switching frequency - determines RT resistor (SYNCIN must be 80-120% of this)</t>
  </si>
  <si>
    <t>L_slopecomp</t>
  </si>
  <si>
    <t>Inductor copper temerature</t>
  </si>
  <si>
    <t>Channel 1</t>
  </si>
  <si>
    <t>Calculated inductance for 35% ripple at VIN(nom)</t>
  </si>
  <si>
    <t>Duty cycles adjusted for DCR/shunt voltage drops</t>
  </si>
  <si>
    <r>
      <t>Required I</t>
    </r>
    <r>
      <rPr>
        <b/>
        <vertAlign val="subscript"/>
        <sz val="10"/>
        <color theme="1"/>
        <rFont val="Arial"/>
        <family val="2"/>
      </rPr>
      <t>OCP</t>
    </r>
    <r>
      <rPr>
        <b/>
        <sz val="10"/>
        <color theme="1"/>
        <rFont val="Arial"/>
        <family val="2"/>
      </rPr>
      <t xml:space="preserve"> Setpoint at V</t>
    </r>
    <r>
      <rPr>
        <b/>
        <vertAlign val="subscript"/>
        <sz val="10"/>
        <color theme="1"/>
        <rFont val="Arial"/>
        <family val="2"/>
      </rPr>
      <t>IN(nom)</t>
    </r>
  </si>
  <si>
    <r>
      <rPr>
        <b/>
        <sz val="10"/>
        <rFont val="Arial"/>
        <family val="2"/>
      </rPr>
      <t>Peak</t>
    </r>
    <r>
      <rPr>
        <sz val="10"/>
        <rFont val="Arial"/>
        <family val="2"/>
      </rPr>
      <t xml:space="preserve"> inductor current at current limit inception</t>
    </r>
  </si>
  <si>
    <t>CS threshold</t>
  </si>
  <si>
    <t>CS threshold_min</t>
  </si>
  <si>
    <t>CS threshold_max</t>
  </si>
  <si>
    <t>Ideal Rs for the required OCP -- based on 73mV CL threshold</t>
  </si>
  <si>
    <t>Current limit - peak</t>
  </si>
  <si>
    <r>
      <rPr>
        <b/>
        <sz val="10"/>
        <rFont val="Arial"/>
        <family val="2"/>
      </rPr>
      <t>Peak</t>
    </r>
    <r>
      <rPr>
        <sz val="10"/>
        <rFont val="Arial"/>
        <family val="2"/>
      </rPr>
      <t xml:space="preserve"> inductor current limit = min sat current</t>
    </r>
  </si>
  <si>
    <t>Pshunt_Vinmin</t>
  </si>
  <si>
    <t>Pshunt_Vinnom</t>
  </si>
  <si>
    <t>Pshunt_Vinmax</t>
  </si>
  <si>
    <t>Irms_OCP_Vinmin</t>
  </si>
  <si>
    <t>Irms_OCP_Vinnom</t>
  </si>
  <si>
    <t>Irms_OCP_Vinmax</t>
  </si>
  <si>
    <t>Max power dissipations in shunt</t>
  </si>
  <si>
    <t>Lo</t>
  </si>
  <si>
    <t>Note this is power loss at full load - not loss near OCP!</t>
  </si>
  <si>
    <t>Ripple current at Vin(max)</t>
  </si>
  <si>
    <t>FPWM</t>
  </si>
  <si>
    <t>Step 6b: Other Components - Dither, Hiccup, DEMB, MODE</t>
  </si>
  <si>
    <t>Tres</t>
  </si>
  <si>
    <t>Cres</t>
  </si>
  <si>
    <t>Cres_u</t>
  </si>
  <si>
    <r>
      <t>R</t>
    </r>
    <r>
      <rPr>
        <vertAlign val="subscript"/>
        <sz val="10"/>
        <rFont val="Arial"/>
        <family val="2"/>
      </rPr>
      <t>PG1/2</t>
    </r>
  </si>
  <si>
    <t>Hiccup time</t>
  </si>
  <si>
    <t>R_DEMB</t>
  </si>
  <si>
    <t>R_MODE</t>
  </si>
  <si>
    <t xml:space="preserve">Tie to VDDA or AGND for Single/Dual operation, respectively. </t>
  </si>
  <si>
    <r>
      <t>R</t>
    </r>
    <r>
      <rPr>
        <vertAlign val="subscript"/>
        <sz val="10"/>
        <rFont val="Arial"/>
        <family val="2"/>
      </rPr>
      <t>FB1/2</t>
    </r>
  </si>
  <si>
    <t xml:space="preserve">Tie to VDDA or AGND for 3.3V/5V output, respectively. </t>
  </si>
  <si>
    <r>
      <t>Min Inductor Sat Current, I</t>
    </r>
    <r>
      <rPr>
        <vertAlign val="subscript"/>
        <sz val="10"/>
        <color theme="1"/>
        <rFont val="Arial"/>
        <family val="2"/>
      </rPr>
      <t>LO(SAT)</t>
    </r>
  </si>
  <si>
    <t>VCC</t>
  </si>
  <si>
    <t>mc*(1-d)</t>
  </si>
  <si>
    <t>This along with Rcea1 will set a zero at Fcrossover/5 to optimize phase margin</t>
  </si>
  <si>
    <r>
      <t>R</t>
    </r>
    <r>
      <rPr>
        <b/>
        <vertAlign val="subscript"/>
        <sz val="10"/>
        <rFont val="Arial"/>
        <family val="2"/>
      </rPr>
      <t>C1</t>
    </r>
  </si>
  <si>
    <t>3.3V</t>
  </si>
  <si>
    <t>5V</t>
  </si>
  <si>
    <t>Adjustable</t>
  </si>
  <si>
    <r>
      <t>Hz   (F</t>
    </r>
    <r>
      <rPr>
        <vertAlign val="subscript"/>
        <sz val="10"/>
        <rFont val="Arial"/>
        <family val="2"/>
      </rPr>
      <t>PEA</t>
    </r>
    <r>
      <rPr>
        <sz val="10"/>
        <rFont val="Arial"/>
        <family val="2"/>
      </rPr>
      <t>)</t>
    </r>
  </si>
  <si>
    <t>Step 2: Buck Inductor</t>
  </si>
  <si>
    <t>Calculated inductance based on one times inductor downslope</t>
  </si>
  <si>
    <t>D_Vinmin</t>
  </si>
  <si>
    <t>D_Vinnom</t>
  </si>
  <si>
    <t>D_Vinmax</t>
  </si>
  <si>
    <t>D_Vinmin_2</t>
  </si>
  <si>
    <t>D_Vinnom_2</t>
  </si>
  <si>
    <t>D_Vinmax_2</t>
  </si>
  <si>
    <t>Cc1ea, Cc3ea</t>
  </si>
  <si>
    <t>Cc2ea, Cc4ea</t>
  </si>
  <si>
    <t>Rc2</t>
  </si>
  <si>
    <t>Cc3</t>
  </si>
  <si>
    <t>Cc4</t>
  </si>
  <si>
    <t>Cc3ea</t>
  </si>
  <si>
    <t>Cc4ea</t>
  </si>
  <si>
    <t>High- &amp; low-side MOSFETs - Ch1</t>
  </si>
  <si>
    <t>with 170mA current limit</t>
  </si>
  <si>
    <t>Quiescent Current of LM5143-Q1 Controller (One channel disabled)</t>
  </si>
  <si>
    <t>Controller Characteristics</t>
  </si>
  <si>
    <t>Gate Charge at VCC = 5V</t>
  </si>
  <si>
    <t>Drain-Source Resistances of Channel 1 FETs</t>
  </si>
  <si>
    <t>Junction-to-Ambient Resistance</t>
  </si>
  <si>
    <t>Transconductance</t>
  </si>
  <si>
    <t>Threshold Voltage</t>
  </si>
  <si>
    <t>Switch Point Voltage of FETs</t>
  </si>
  <si>
    <t>Control MOSFET Loss</t>
  </si>
  <si>
    <t>SYNC MOSFET Loss</t>
  </si>
  <si>
    <t>BUCK CONTROLLER POWER DESIGN TOOL</t>
  </si>
  <si>
    <t>High-side</t>
  </si>
  <si>
    <t>0508</t>
  </si>
  <si>
    <r>
      <t>C</t>
    </r>
    <r>
      <rPr>
        <vertAlign val="subscript"/>
        <sz val="10"/>
        <rFont val="Arial"/>
        <family val="2"/>
      </rPr>
      <t>VDDA</t>
    </r>
  </si>
  <si>
    <t>Iout/ phase</t>
  </si>
  <si>
    <t>% ripple current</t>
  </si>
  <si>
    <t>Zero-order sample-and-hold effects of current-mode control modeled as pole at Fsw/2</t>
  </si>
  <si>
    <t>With/without VOUT connected to VCCX</t>
  </si>
  <si>
    <r>
      <t>(Q</t>
    </r>
    <r>
      <rPr>
        <b/>
        <vertAlign val="subscript"/>
        <sz val="10"/>
        <color rgb="FF0000FF"/>
        <rFont val="Arial"/>
        <family val="2"/>
      </rPr>
      <t>1</t>
    </r>
    <r>
      <rPr>
        <b/>
        <sz val="10"/>
        <color rgb="FF0000FF"/>
        <rFont val="Arial"/>
        <family val="2"/>
      </rPr>
      <t>, Q</t>
    </r>
    <r>
      <rPr>
        <b/>
        <vertAlign val="subscript"/>
        <sz val="10"/>
        <color rgb="FF0000FF"/>
        <rFont val="Arial"/>
        <family val="2"/>
      </rPr>
      <t>2</t>
    </r>
    <r>
      <rPr>
        <b/>
        <sz val="10"/>
        <color rgb="FF0000FF"/>
        <rFont val="Arial"/>
        <family val="2"/>
      </rPr>
      <t xml:space="preserve">) </t>
    </r>
  </si>
  <si>
    <t>Dual  Outputs</t>
  </si>
  <si>
    <t>Single Output – 2  Phases</t>
  </si>
  <si>
    <t>Single Output – 3  Phases</t>
  </si>
  <si>
    <t>Single Output – 4  Phases</t>
  </si>
  <si>
    <t>BODE_PLOT_TYPE</t>
  </si>
  <si>
    <r>
      <t>Ambient Temperature, T</t>
    </r>
    <r>
      <rPr>
        <b/>
        <vertAlign val="subscript"/>
        <sz val="10"/>
        <rFont val="Arial"/>
        <family val="2"/>
      </rPr>
      <t>A</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</si>
  <si>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</si>
  <si>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</si>
  <si>
    <r>
      <t>Input Voltage – Max, V</t>
    </r>
    <r>
      <rPr>
        <b/>
        <vertAlign val="subscript"/>
        <sz val="10"/>
        <color theme="1"/>
        <rFont val="Arial"/>
        <family val="2"/>
      </rPr>
      <t>IN(max)</t>
    </r>
  </si>
  <si>
    <r>
      <t>Switching Frequency, F</t>
    </r>
    <r>
      <rPr>
        <b/>
        <vertAlign val="subscript"/>
        <sz val="10"/>
        <color theme="1"/>
        <rFont val="Arial"/>
        <family val="2"/>
      </rPr>
      <t>SW</t>
    </r>
  </si>
  <si>
    <t>Number of Phases</t>
  </si>
  <si>
    <t>SINGLE OUTPUT (1 = YES)</t>
  </si>
  <si>
    <t>MODE (Single/Dual), DUAL = 1, SINGLE = 2</t>
  </si>
  <si>
    <t>Buck modulator gain</t>
  </si>
  <si>
    <t>Scaling factor to calculate Rcomp - buck</t>
  </si>
  <si>
    <r>
      <t>Output Voltage, V</t>
    </r>
    <r>
      <rPr>
        <b/>
        <vertAlign val="subscript"/>
        <sz val="10"/>
        <color theme="1"/>
        <rFont val="Arial"/>
        <family val="2"/>
      </rPr>
      <t>OUT</t>
    </r>
    <r>
      <rPr>
        <b/>
        <sz val="10"/>
        <color theme="1"/>
        <rFont val="Arial"/>
        <family val="2"/>
      </rPr>
      <t xml:space="preserve"> </t>
    </r>
  </si>
  <si>
    <r>
      <t>Full Load Output Current, I</t>
    </r>
    <r>
      <rPr>
        <b/>
        <vertAlign val="subscript"/>
        <sz val="10"/>
        <color theme="1"/>
        <rFont val="Arial"/>
        <family val="2"/>
      </rPr>
      <t xml:space="preserve">OUT </t>
    </r>
  </si>
  <si>
    <t>Step 9: IC Power Loss</t>
  </si>
  <si>
    <t>IC Junction Temperature (estimate)</t>
  </si>
  <si>
    <t>Junction temperature</t>
  </si>
  <si>
    <t>VCCX Connected</t>
  </si>
  <si>
    <t>No External VCC</t>
  </si>
  <si>
    <t>Ext_VCC</t>
  </si>
  <si>
    <t>Fp2</t>
  </si>
  <si>
    <t>Chosen output capacitance</t>
  </si>
  <si>
    <t>Minimum output capacitnace</t>
  </si>
  <si>
    <t>I_VCC</t>
  </si>
  <si>
    <t>LDO Loss Saved from Gate Drive Current (ext VCC)</t>
  </si>
  <si>
    <t>IC Power Dissipation</t>
  </si>
  <si>
    <r>
      <t>Output Capacitance, C</t>
    </r>
    <r>
      <rPr>
        <b/>
        <vertAlign val="subscript"/>
        <sz val="10"/>
        <rFont val="Arial"/>
        <family val="2"/>
      </rPr>
      <t>OSS</t>
    </r>
    <r>
      <rPr>
        <b/>
        <sz val="10"/>
        <rFont val="Arial"/>
        <family val="2"/>
      </rPr>
      <t xml:space="preserve"> </t>
    </r>
  </si>
  <si>
    <r>
      <t>Output Charge, Q</t>
    </r>
    <r>
      <rPr>
        <b/>
        <vertAlign val="subscript"/>
        <sz val="10"/>
        <rFont val="Arial"/>
        <family val="2"/>
      </rPr>
      <t>OSS</t>
    </r>
    <r>
      <rPr>
        <b/>
        <sz val="10"/>
        <rFont val="Arial"/>
        <family val="2"/>
      </rPr>
      <t xml:space="preserve"> </t>
    </r>
  </si>
  <si>
    <t>Qoss</t>
  </si>
  <si>
    <t>Coss</t>
  </si>
  <si>
    <t>Output Charge</t>
  </si>
  <si>
    <t>Output Capacitance</t>
  </si>
  <si>
    <t>Gate to Source Charge</t>
  </si>
  <si>
    <t>Tsw</t>
  </si>
  <si>
    <t>Transition Loss (not including capacitive loss)</t>
  </si>
  <si>
    <t>MOSFET Output Capacitance Loss</t>
  </si>
  <si>
    <t>Peak Inductor Current</t>
  </si>
  <si>
    <t>Valley Inductor Current</t>
  </si>
  <si>
    <t>SW node voltage at Q1 turn-on</t>
  </si>
  <si>
    <t>Maximum Permitted ESR</t>
  </si>
  <si>
    <t>Resulting Input Voltage Ripple (max)</t>
  </si>
  <si>
    <t>Icinrms_VINmax</t>
  </si>
  <si>
    <t>Two channels operating at full load</t>
  </si>
  <si>
    <t>Calculate input cap rms current with one output unloaded</t>
  </si>
  <si>
    <t>N*D</t>
  </si>
  <si>
    <t>floor(N*D)</t>
  </si>
  <si>
    <t>Icinrms - multiphase</t>
  </si>
  <si>
    <t>Final result</t>
  </si>
  <si>
    <t>Icinrms - multiphase - max</t>
  </si>
  <si>
    <t>14ns for LM513-Q1</t>
  </si>
  <si>
    <t>Power MOSFETs</t>
  </si>
  <si>
    <t>Load Pole Frequency</t>
  </si>
  <si>
    <t>ESR Zero Frequency</t>
  </si>
  <si>
    <t xml:space="preserve">Inductor DCR </t>
  </si>
  <si>
    <t>Output Voltage Ripple Spec</t>
  </si>
  <si>
    <t>Minimum Output Capacitance</t>
  </si>
  <si>
    <r>
      <t>C</t>
    </r>
    <r>
      <rPr>
        <vertAlign val="subscript"/>
        <sz val="10"/>
        <rFont val="Arial"/>
        <family val="2"/>
      </rPr>
      <t>BOOT</t>
    </r>
  </si>
  <si>
    <r>
      <t>C</t>
    </r>
    <r>
      <rPr>
        <vertAlign val="subscript"/>
        <sz val="10"/>
        <rFont val="Arial"/>
        <family val="2"/>
      </rPr>
      <t>VCC</t>
    </r>
    <r>
      <rPr>
        <sz val="10"/>
        <rFont val="Arial"/>
        <family val="2"/>
      </rPr>
      <t>,</t>
    </r>
    <r>
      <rPr>
        <sz val="10"/>
        <rFont val="Arial"/>
        <family val="2"/>
      </rPr>
      <t xml:space="preserve"> C</t>
    </r>
    <r>
      <rPr>
        <vertAlign val="subscript"/>
        <sz val="10"/>
        <rFont val="Arial"/>
        <family val="2"/>
      </rPr>
      <t>VCCX</t>
    </r>
  </si>
  <si>
    <r>
      <t>L</t>
    </r>
    <r>
      <rPr>
        <vertAlign val="subscript"/>
        <sz val="10"/>
        <rFont val="Arial"/>
        <family val="2"/>
      </rPr>
      <t>O</t>
    </r>
  </si>
  <si>
    <r>
      <t>R</t>
    </r>
    <r>
      <rPr>
        <vertAlign val="subscript"/>
        <sz val="10"/>
        <rFont val="Arial"/>
        <family val="2"/>
      </rPr>
      <t>S</t>
    </r>
  </si>
  <si>
    <t xml:space="preserve">   ** Tie VCCX to GND if not used **</t>
  </si>
  <si>
    <r>
      <t>Inductance, L</t>
    </r>
    <r>
      <rPr>
        <b/>
        <vertAlign val="subscript"/>
        <sz val="10"/>
        <color theme="1"/>
        <rFont val="Arial"/>
        <family val="2"/>
      </rPr>
      <t>O</t>
    </r>
    <r>
      <rPr>
        <b/>
        <sz val="10"/>
        <color theme="1"/>
        <rFont val="Arial"/>
        <family val="2"/>
      </rPr>
      <t xml:space="preserve"> </t>
    </r>
  </si>
  <si>
    <t>OSC setting</t>
  </si>
  <si>
    <t>Rt1</t>
  </si>
  <si>
    <t>Output Voltage Setting</t>
  </si>
  <si>
    <t>Schematic setting</t>
  </si>
  <si>
    <t>Cd</t>
  </si>
  <si>
    <t>Step 3: Buck Inductance</t>
  </si>
  <si>
    <t>Step 2: Current Sense Resistor</t>
  </si>
  <si>
    <r>
      <t>R</t>
    </r>
    <r>
      <rPr>
        <vertAlign val="subscript"/>
        <sz val="10"/>
        <rFont val="Arial"/>
        <family val="2"/>
      </rPr>
      <t>CS</t>
    </r>
  </si>
  <si>
    <t>VQFN-24</t>
  </si>
  <si>
    <r>
      <t>Output Capacitance (derated), C</t>
    </r>
    <r>
      <rPr>
        <b/>
        <vertAlign val="subscript"/>
        <sz val="10"/>
        <rFont val="Arial"/>
        <family val="2"/>
      </rPr>
      <t>OUT</t>
    </r>
    <r>
      <rPr>
        <b/>
        <sz val="10"/>
        <rFont val="Arial"/>
        <family val="2"/>
      </rPr>
      <t xml:space="preserve"> </t>
    </r>
  </si>
  <si>
    <r>
      <t>Input Capacitance (derated), C</t>
    </r>
    <r>
      <rPr>
        <b/>
        <vertAlign val="subscript"/>
        <sz val="10"/>
        <color theme="1"/>
        <rFont val="Arial"/>
        <family val="2"/>
      </rPr>
      <t>IN</t>
    </r>
    <r>
      <rPr>
        <b/>
        <sz val="10"/>
        <color theme="1"/>
        <rFont val="Arial"/>
        <family val="2"/>
      </rPr>
      <t xml:space="preserve"> </t>
    </r>
  </si>
  <si>
    <t>mc = 1 + Se/Sn for peak current-mode buck</t>
  </si>
  <si>
    <t>External Compensation</t>
  </si>
  <si>
    <t>Internal Compensation</t>
  </si>
  <si>
    <t>COMP_TYPE</t>
  </si>
  <si>
    <t>Step 8: AEF</t>
  </si>
  <si>
    <t>Cinj_AEF</t>
  </si>
  <si>
    <t>Rdamp_AEF</t>
  </si>
  <si>
    <t>Gop_AEF</t>
  </si>
  <si>
    <t>n</t>
  </si>
  <si>
    <t>Cdamp_AEF</t>
  </si>
  <si>
    <t>dBuV</t>
  </si>
  <si>
    <t>VinRipple_dBuV</t>
  </si>
  <si>
    <t>CISPR 25 limit</t>
  </si>
  <si>
    <t>Attenuation required</t>
  </si>
  <si>
    <t>Filter Frequency Required</t>
  </si>
  <si>
    <t>Lfilter</t>
  </si>
  <si>
    <t>Ccomp_AEF</t>
  </si>
  <si>
    <t>Rcomp_AEF</t>
  </si>
  <si>
    <t>Csen_AEF</t>
  </si>
  <si>
    <t>Passive</t>
  </si>
  <si>
    <t>INFILTER_TYPE</t>
  </si>
  <si>
    <t>No Input Filter</t>
  </si>
  <si>
    <t>AEF Input Filter</t>
  </si>
  <si>
    <t>Passive LC Filter</t>
  </si>
  <si>
    <t>Filter Attenuation</t>
  </si>
  <si>
    <t>Attenuation at Fsw</t>
  </si>
  <si>
    <t>dB-µV</t>
  </si>
  <si>
    <t>VIN Ripple</t>
  </si>
  <si>
    <t>jω</t>
  </si>
  <si>
    <t>Numerator</t>
  </si>
  <si>
    <t>Denominator</t>
  </si>
  <si>
    <t>Magnitude</t>
  </si>
  <si>
    <t>Phase</t>
  </si>
  <si>
    <t>-jω^3</t>
  </si>
  <si>
    <t>-ω^2</t>
  </si>
  <si>
    <t>Gop</t>
  </si>
  <si>
    <t>AEF Numerator</t>
  </si>
  <si>
    <t>AEF Denominator</t>
  </si>
  <si>
    <t>Cin_Passive</t>
  </si>
  <si>
    <t>Rdamp_Passive</t>
  </si>
  <si>
    <t>Cdamp_Pssv</t>
  </si>
  <si>
    <t>Cdamp_Passive</t>
  </si>
  <si>
    <t>Conducted EMC at Fsw</t>
  </si>
  <si>
    <t>Fsw Conducted EMC</t>
  </si>
  <si>
    <t>dB</t>
  </si>
  <si>
    <t xml:space="preserve">                           LM5149-Q1 Synchronous Buck Controller Design Tool</t>
  </si>
  <si>
    <t>Passive Cf</t>
  </si>
  <si>
    <t>Suggested Cdamp</t>
  </si>
  <si>
    <t>Suggested Rdamp</t>
  </si>
  <si>
    <t>Chosen Inductor</t>
  </si>
  <si>
    <t>Chosen Cdamp</t>
  </si>
  <si>
    <t>Chosen Rdamp</t>
  </si>
  <si>
    <t>Suggested Inductor</t>
  </si>
  <si>
    <t>Choose Filter</t>
  </si>
  <si>
    <t>AEF Filter Inductor</t>
  </si>
  <si>
    <t>Cdamp</t>
  </si>
  <si>
    <t>Rdamp</t>
  </si>
  <si>
    <t>(kHz)</t>
  </si>
  <si>
    <t>SetVout_IntComp_nAEF</t>
  </si>
  <si>
    <t>SetVout_ExtComp_AEF</t>
  </si>
  <si>
    <t>SetVout_IntComp_AEF</t>
  </si>
  <si>
    <t>SetVout_ExtComp_nAEF</t>
  </si>
  <si>
    <t>AdjVout_IntComp_nAEF</t>
  </si>
  <si>
    <t>AdjVout_IntComp_AEF</t>
  </si>
  <si>
    <t>AdjVout_ExtComp_nAEF</t>
  </si>
  <si>
    <t>AdjVout_ExtComp_AEF</t>
  </si>
  <si>
    <t>12V</t>
  </si>
  <si>
    <t>Cinj</t>
  </si>
  <si>
    <t>Internal Values</t>
  </si>
  <si>
    <t>Internal Comp Crossover</t>
  </si>
  <si>
    <t>Error Amp Pole Frequency</t>
  </si>
  <si>
    <t>RT resistor to AGND</t>
  </si>
  <si>
    <t>Rd</t>
  </si>
  <si>
    <t>Feedback Gain</t>
  </si>
  <si>
    <t>p1p2</t>
  </si>
  <si>
    <t>Feedback natural frequencies</t>
  </si>
  <si>
    <t>wff</t>
  </si>
  <si>
    <t>wfbt</t>
  </si>
  <si>
    <t>wfbb</t>
  </si>
  <si>
    <t>w1</t>
  </si>
  <si>
    <t>Rff</t>
  </si>
  <si>
    <t>Cff</t>
  </si>
  <si>
    <t>Cfb</t>
  </si>
  <si>
    <t>Cfb*(Rff+RFBT)/(Rff*RFBT))</t>
  </si>
  <si>
    <t>zterm1</t>
  </si>
  <si>
    <t>pterm3</t>
  </si>
  <si>
    <t>pterm4</t>
  </si>
  <si>
    <t>Afbr</t>
  </si>
  <si>
    <t>wfft</t>
  </si>
  <si>
    <t>dBµV</t>
  </si>
  <si>
    <t>Chooses CISPR conducted limit 35 at 2.1MHz and 50 at 440kHz</t>
  </si>
  <si>
    <t>Margin of attenuation req</t>
  </si>
  <si>
    <t>assume 40db/decade drop and set frequency based on attenuation</t>
  </si>
  <si>
    <t>user input</t>
  </si>
  <si>
    <t>AEF Comp network &amp; sense is specifically defined at 2.2MHz at 440kHz</t>
  </si>
  <si>
    <t>n should be 2 or 3</t>
  </si>
  <si>
    <t>PFM</t>
  </si>
  <si>
    <t>FPWM/PFM</t>
  </si>
  <si>
    <r>
      <t>Configuration Resistor, R</t>
    </r>
    <r>
      <rPr>
        <vertAlign val="subscript"/>
        <sz val="10"/>
        <rFont val="Arial"/>
        <family val="2"/>
      </rPr>
      <t>CNFG</t>
    </r>
  </si>
  <si>
    <t>Enable Hysteresis Current</t>
  </si>
  <si>
    <t>10 µA Hysteresis Current</t>
  </si>
  <si>
    <t>Turn ON Voltage</t>
  </si>
  <si>
    <t>Hysteresis Voltage</t>
  </si>
  <si>
    <t>Upper FB resistor</t>
  </si>
  <si>
    <t>Lower FB resister</t>
  </si>
  <si>
    <t>Standard upper FB resistor</t>
  </si>
  <si>
    <t>Standard lower FB resistor</t>
  </si>
  <si>
    <t>Rent</t>
  </si>
  <si>
    <t>Renb</t>
  </si>
  <si>
    <t>UVLO Divider</t>
  </si>
  <si>
    <t>No UVLO Divider</t>
  </si>
  <si>
    <t>UVLO_TYPE</t>
  </si>
  <si>
    <t>RENT</t>
  </si>
  <si>
    <t>RENB</t>
  </si>
  <si>
    <t>Passive EMI at Fsw</t>
  </si>
  <si>
    <t>AEF EMI at Fsw</t>
  </si>
  <si>
    <t>0.1-10</t>
  </si>
  <si>
    <t>AEF</t>
  </si>
  <si>
    <t>Lfilter Passive</t>
  </si>
  <si>
    <t>Cfilter Passive</t>
  </si>
  <si>
    <t>Cdamp passive</t>
  </si>
  <si>
    <t>Rdamp passive</t>
  </si>
  <si>
    <t>1-10</t>
  </si>
  <si>
    <t>AEFCompare</t>
  </si>
  <si>
    <t>AEF comparison Values</t>
  </si>
  <si>
    <t>AEF Attenuation at Fsw</t>
  </si>
  <si>
    <t>Passive Attenuation at Fsw</t>
  </si>
  <si>
    <r>
      <t>C</t>
    </r>
    <r>
      <rPr>
        <vertAlign val="subscript"/>
        <sz val="10"/>
        <rFont val="Arial"/>
        <family val="2"/>
      </rPr>
      <t>DAMP</t>
    </r>
  </si>
  <si>
    <r>
      <t>R</t>
    </r>
    <r>
      <rPr>
        <vertAlign val="subscript"/>
        <sz val="10"/>
        <rFont val="Arial"/>
        <family val="2"/>
      </rPr>
      <t>DAMP</t>
    </r>
  </si>
  <si>
    <t>Slope comp</t>
  </si>
  <si>
    <t>RCNFG</t>
  </si>
  <si>
    <t>VCCX</t>
  </si>
  <si>
    <r>
      <t>Upper Enable Resistor, R</t>
    </r>
    <r>
      <rPr>
        <vertAlign val="subscript"/>
        <sz val="10"/>
        <rFont val="Arial"/>
        <family val="2"/>
      </rPr>
      <t>UV1</t>
    </r>
  </si>
  <si>
    <r>
      <t>Lower Enable Resistor, R</t>
    </r>
    <r>
      <rPr>
        <vertAlign val="subscript"/>
        <sz val="10"/>
        <rFont val="Arial"/>
        <family val="2"/>
      </rPr>
      <t>UV2</t>
    </r>
  </si>
  <si>
    <r>
      <t>Design tab - L</t>
    </r>
    <r>
      <rPr>
        <vertAlign val="subscript"/>
        <sz val="10"/>
        <color theme="1"/>
        <rFont val="Arial"/>
        <family val="2"/>
      </rPr>
      <t>AEF</t>
    </r>
  </si>
  <si>
    <r>
      <t>Design tab - C</t>
    </r>
    <r>
      <rPr>
        <vertAlign val="subscript"/>
        <sz val="10"/>
        <rFont val="Arial"/>
        <family val="2"/>
      </rPr>
      <t>INJ</t>
    </r>
  </si>
  <si>
    <r>
      <t>Design tab - C</t>
    </r>
    <r>
      <rPr>
        <vertAlign val="subscript"/>
        <sz val="10"/>
        <rFont val="Arial"/>
        <family val="2"/>
      </rPr>
      <t>DAMP</t>
    </r>
  </si>
  <si>
    <r>
      <t>Design tab - R</t>
    </r>
    <r>
      <rPr>
        <vertAlign val="subscript"/>
        <sz val="10"/>
        <rFont val="Arial"/>
        <family val="2"/>
      </rPr>
      <t>DAMP</t>
    </r>
  </si>
  <si>
    <r>
      <t>L</t>
    </r>
    <r>
      <rPr>
        <vertAlign val="subscript"/>
        <sz val="10"/>
        <color theme="1"/>
        <rFont val="Arial"/>
        <family val="2"/>
      </rPr>
      <t>AEF</t>
    </r>
  </si>
  <si>
    <r>
      <t>C</t>
    </r>
    <r>
      <rPr>
        <vertAlign val="subscript"/>
        <sz val="10"/>
        <rFont val="Arial"/>
        <family val="2"/>
      </rPr>
      <t>INJ</t>
    </r>
  </si>
  <si>
    <r>
      <t>Chosen L</t>
    </r>
    <r>
      <rPr>
        <vertAlign val="subscript"/>
        <sz val="10"/>
        <color theme="1"/>
        <rFont val="Arial"/>
        <family val="2"/>
      </rPr>
      <t>IN</t>
    </r>
  </si>
  <si>
    <r>
      <t>Chosen R</t>
    </r>
    <r>
      <rPr>
        <vertAlign val="subscript"/>
        <sz val="10"/>
        <rFont val="Arial"/>
        <family val="2"/>
      </rPr>
      <t>DAMP</t>
    </r>
  </si>
  <si>
    <r>
      <t>Chosen C</t>
    </r>
    <r>
      <rPr>
        <vertAlign val="subscript"/>
        <sz val="10"/>
        <rFont val="Arial"/>
        <family val="2"/>
      </rPr>
      <t>DAMP</t>
    </r>
  </si>
  <si>
    <r>
      <t>Chosen C</t>
    </r>
    <r>
      <rPr>
        <vertAlign val="subscript"/>
        <sz val="10"/>
        <rFont val="Arial"/>
        <family val="2"/>
      </rPr>
      <t>F</t>
    </r>
  </si>
  <si>
    <r>
      <t>Suggested R</t>
    </r>
    <r>
      <rPr>
        <vertAlign val="subscript"/>
        <sz val="10"/>
        <rFont val="Arial"/>
        <family val="2"/>
      </rPr>
      <t>DAMP</t>
    </r>
  </si>
  <si>
    <r>
      <t>Suggested C</t>
    </r>
    <r>
      <rPr>
        <vertAlign val="subscript"/>
        <sz val="10"/>
        <rFont val="Arial"/>
        <family val="2"/>
      </rPr>
      <t>DAMP</t>
    </r>
  </si>
  <si>
    <r>
      <t>Suggested C</t>
    </r>
    <r>
      <rPr>
        <vertAlign val="subscript"/>
        <sz val="10"/>
        <rFont val="Arial"/>
        <family val="2"/>
      </rPr>
      <t>F</t>
    </r>
  </si>
  <si>
    <r>
      <t>Suggested L</t>
    </r>
    <r>
      <rPr>
        <vertAlign val="subscript"/>
        <sz val="10"/>
        <color theme="1"/>
        <rFont val="Arial"/>
        <family val="2"/>
      </rPr>
      <t>IN</t>
    </r>
    <r>
      <rPr>
        <sz val="10"/>
        <color theme="1"/>
        <rFont val="Arial"/>
        <family val="2"/>
      </rPr>
      <t xml:space="preserve"> Inductor</t>
    </r>
  </si>
  <si>
    <t>Rd_AEF</t>
  </si>
  <si>
    <t>Cinmin_Vinmin</t>
  </si>
  <si>
    <t>Vinripple2_Vinmin</t>
  </si>
  <si>
    <t>Cinmin_Vinnom</t>
  </si>
  <si>
    <t>Vinripple2_Vinnom</t>
  </si>
  <si>
    <t xml:space="preserve">                           LM(2)5149-Q1 Synchronous Buck Controller Design Tool</t>
  </si>
  <si>
    <t>VIN Ripple at Fsw</t>
  </si>
  <si>
    <t xml:space="preserve"> LM25149-Q1 Quickstart Design Tool</t>
  </si>
  <si>
    <t>LM25149-Q1EVM-2100 PCB Layout</t>
  </si>
  <si>
    <t>IC</t>
  </si>
  <si>
    <t>Step 5: Input Capacitors</t>
  </si>
  <si>
    <t xml:space="preserve">                      LM(2)5148/-Q1 Synchronous Buck Controller Design Tool</t>
  </si>
  <si>
    <r>
      <t>mV</t>
    </r>
    <r>
      <rPr>
        <b/>
        <vertAlign val="subscript"/>
        <sz val="10"/>
        <rFont val="Arial"/>
        <family val="2"/>
      </rPr>
      <t>PK=PK</t>
    </r>
  </si>
  <si>
    <r>
      <t>mV</t>
    </r>
    <r>
      <rPr>
        <vertAlign val="subscript"/>
        <sz val="10"/>
        <rFont val="Arial"/>
        <family val="2"/>
      </rPr>
      <t>PK-PK</t>
    </r>
  </si>
  <si>
    <r>
      <t>A</t>
    </r>
    <r>
      <rPr>
        <vertAlign val="subscript"/>
        <sz val="10"/>
        <rFont val="Arial"/>
        <family val="2"/>
      </rPr>
      <t>RMS</t>
    </r>
  </si>
  <si>
    <r>
      <t>mV</t>
    </r>
    <r>
      <rPr>
        <b/>
        <vertAlign val="subscript"/>
        <sz val="10"/>
        <rFont val="Arial"/>
        <family val="2"/>
      </rPr>
      <t>PK-PK</t>
    </r>
  </si>
  <si>
    <t>Input Voltage UVLO Turn On</t>
  </si>
  <si>
    <t>Input Voltage UVLO Turn Off</t>
  </si>
  <si>
    <t>Output Setting</t>
  </si>
  <si>
    <t>DRSS Enabled</t>
  </si>
  <si>
    <t>DRSS Disabled</t>
  </si>
  <si>
    <t>DRSS Yes/No</t>
  </si>
  <si>
    <t>LM5148</t>
  </si>
  <si>
    <t>LM5148-Q1</t>
  </si>
  <si>
    <t>LM25148</t>
  </si>
  <si>
    <t>LM25148-Q1</t>
  </si>
  <si>
    <t>VARIANT</t>
  </si>
  <si>
    <t>VIN-MAX</t>
  </si>
  <si>
    <t>VOUT-MAX</t>
  </si>
  <si>
    <t>Core loss</t>
  </si>
  <si>
    <t xml:space="preserve">   ** Tie PFM to VDDA for PFM, AGND for FPWM **</t>
  </si>
  <si>
    <r>
      <t>C</t>
    </r>
    <r>
      <rPr>
        <vertAlign val="subscript"/>
        <sz val="10"/>
        <rFont val="Arial"/>
        <family val="2"/>
      </rPr>
      <t>COMP</t>
    </r>
  </si>
  <si>
    <r>
      <t>C</t>
    </r>
    <r>
      <rPr>
        <vertAlign val="subscript"/>
        <sz val="10"/>
        <rFont val="Arial"/>
        <family val="2"/>
      </rPr>
      <t>HF</t>
    </r>
  </si>
  <si>
    <r>
      <t>R</t>
    </r>
    <r>
      <rPr>
        <vertAlign val="subscript"/>
        <sz val="10"/>
        <rFont val="Arial"/>
        <family val="2"/>
      </rPr>
      <t>COMP</t>
    </r>
  </si>
  <si>
    <r>
      <t>R</t>
    </r>
    <r>
      <rPr>
        <vertAlign val="subscript"/>
        <sz val="10"/>
        <rFont val="Arial"/>
        <family val="2"/>
      </rPr>
      <t>PG</t>
    </r>
  </si>
  <si>
    <t>CinEsrMax_Vinmin</t>
  </si>
  <si>
    <t>'852, '824</t>
  </si>
  <si>
    <t>Step 6: Precision Enable, DRSS, FPWM / PFM</t>
  </si>
  <si>
    <t>Inductance for Ideal Slope Comp</t>
  </si>
  <si>
    <r>
      <t>Estimate Core Loss at V</t>
    </r>
    <r>
      <rPr>
        <b/>
        <vertAlign val="subscript"/>
        <sz val="10"/>
        <rFont val="Arial"/>
        <family val="2"/>
      </rPr>
      <t>IN(nom)</t>
    </r>
  </si>
  <si>
    <r>
      <t>Shunt Resistance, R</t>
    </r>
    <r>
      <rPr>
        <b/>
        <vertAlign val="subscript"/>
        <sz val="10"/>
        <color theme="1"/>
        <rFont val="Arial"/>
        <family val="2"/>
      </rPr>
      <t>S</t>
    </r>
  </si>
  <si>
    <t>Recommended Shunt Resistance</t>
  </si>
  <si>
    <t>Max Power Loss in Shunt</t>
  </si>
  <si>
    <r>
      <t xml:space="preserve">** Effective input and output capacitances should be appropriately </t>
    </r>
    <r>
      <rPr>
        <u/>
        <sz val="10"/>
        <color rgb="FFFF0000"/>
        <rFont val="Arial"/>
        <family val="2"/>
      </rPr>
      <t>derated</t>
    </r>
    <r>
      <rPr>
        <sz val="10"/>
        <rFont val="Arial"/>
        <family val="2"/>
      </rPr>
      <t xml:space="preserve"> for applied voltage and temperature, particularly with ceramics **</t>
    </r>
  </si>
  <si>
    <t>High-Efficiency Synchronous Buck Regulator BOM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</si>
</sst>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43" formatCode="_(* #,##0.00_);_(* \(#,##0.00\);_(* &quot;-&quot;??_);_(@_)"/>
    <numFmt numFmtId="164" formatCode="0.000000"/>
    <numFmt numFmtId="165" formatCode="0.00000"/>
    <numFmt numFmtId="166" formatCode="0.0000"/>
    <numFmt numFmtId="167" formatCode="0.000"/>
    <numFmt numFmtId="168" formatCode="0.0"/>
    <numFmt numFmtId="169" formatCode="0.000E+00"/>
    <numFmt numFmtId="170" formatCode="0.00000000"/>
    <numFmt numFmtId="171" formatCode="#0.0#"/>
    <numFmt numFmtId="172" formatCode="General&quot;nF&quot;"/>
    <numFmt numFmtId="173" formatCode="General&quot;k&quot;"/>
    <numFmt numFmtId="174" formatCode="General&quot;pF&quot;"/>
    <numFmt numFmtId="175" formatCode="General&quot;µF&quot;"/>
    <numFmt numFmtId="176" formatCode="General&quot;µH&quot;"/>
    <numFmt numFmtId="177" formatCode="&quot;Inductor, &quot;General&quot;-µH, 10%&quot;"/>
    <numFmt numFmtId="178" formatCode="0.0%"/>
    <numFmt numFmtId="179" formatCode="0.0E+00"/>
    <numFmt numFmtId="180" formatCode="General&quot;m&quot;"/>
    <numFmt numFmtId="181" formatCode="0.0.E+00"/>
    <numFmt numFmtId="182" formatCode="&quot;MOSFET, N-CH, 40V, &quot;General&quot;mΩ&quot;"/>
    <numFmt numFmtId="183" formatCode="&quot;Capacitor, Ceramic, &quot;General&quot;µF, 25V, X7R, 20%&quot;"/>
    <numFmt numFmtId="184" formatCode="&quot;Capacitor, Ceramic, &quot;General&quot;nF, 16V, X7R, 10%&quot;"/>
    <numFmt numFmtId="185" formatCode="&quot;Capacitor, Ceramic, &quot;General&quot;pF, 50V, NP0, 5%&quot;"/>
    <numFmt numFmtId="186" formatCode="&quot;Capacitor, Ceramic, &quot;General&quot;µF, 50V, X7R, 20%&quot;"/>
    <numFmt numFmtId="187" formatCode="&quot;Capacitor, Ceramic, &quot;General&quot;µF, 10V, X7R, 20%&quot;"/>
    <numFmt numFmtId="188" formatCode="&quot;Resistor, Chip, &quot;General&quot;kΩ, 1/16W, 1%&quot;"/>
    <numFmt numFmtId="189" formatCode="&quot;Resistor, Chip, &quot;General&quot;Ω, 1/16W, 1%&quot;"/>
    <numFmt numFmtId="190" formatCode="&quot;Resistor, Chip, &quot;General&quot;mΩ, 2W, 1%&quot;"/>
  </numFmts>
  <fonts count="95" x14ac:knownFonts="1">
    <font>
      <sz val="10"/>
      <name val="Arial"/>
    </font>
    <font>
      <sz val="11"/>
      <color theme="1"/>
      <name val="Calibri"/>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sz val="10"/>
      <color indexed="13"/>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9"/>
      <color indexed="81"/>
      <name val="Tahoma"/>
      <family val="2"/>
    </font>
    <font>
      <b/>
      <sz val="10"/>
      <color indexed="81"/>
      <name val="Tahoma"/>
      <family val="2"/>
    </font>
    <font>
      <sz val="9"/>
      <color indexed="81"/>
      <name val="Tahoma"/>
      <family val="2"/>
    </font>
    <font>
      <b/>
      <u/>
      <sz val="9"/>
      <color indexed="81"/>
      <name val="Tahoma"/>
      <family val="2"/>
    </font>
    <font>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36"/>
      <color rgb="FFFF0000"/>
      <name val="Arial"/>
      <family val="2"/>
    </font>
    <font>
      <b/>
      <u/>
      <sz val="11"/>
      <color indexed="10"/>
      <name val="Tahoma"/>
      <family val="2"/>
    </font>
    <font>
      <sz val="32"/>
      <color theme="0"/>
      <name val="Arial"/>
      <family val="2"/>
    </font>
    <font>
      <sz val="16"/>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vertAlign val="subscript"/>
      <sz val="10"/>
      <color theme="1"/>
      <name val="Arial"/>
      <family val="2"/>
    </font>
    <font>
      <b/>
      <sz val="11"/>
      <name val="Arial"/>
      <family val="2"/>
    </font>
    <font>
      <sz val="10"/>
      <color rgb="FFFF0000"/>
      <name val="Arial"/>
      <family val="2"/>
    </font>
    <font>
      <vertAlign val="subscript"/>
      <sz val="10"/>
      <color rgb="FFFF0000"/>
      <name val="Arial"/>
      <family val="2"/>
    </font>
    <font>
      <b/>
      <sz val="10"/>
      <name val="Symbol"/>
      <family val="1"/>
      <charset val="2"/>
    </font>
    <font>
      <u/>
      <sz val="10"/>
      <color theme="0" tint="-0.499984740745262"/>
      <name val="Arial"/>
      <family val="2"/>
    </font>
    <font>
      <b/>
      <sz val="12"/>
      <color indexed="10"/>
      <name val="Tahoma"/>
      <family val="2"/>
    </font>
    <font>
      <b/>
      <sz val="10"/>
      <color rgb="FFC00000"/>
      <name val="Arial"/>
      <family val="2"/>
    </font>
    <font>
      <b/>
      <vertAlign val="subscript"/>
      <sz val="9"/>
      <color indexed="10"/>
      <name val="Tahoma"/>
      <family val="2"/>
    </font>
    <font>
      <b/>
      <sz val="9"/>
      <color indexed="14"/>
      <name val="Tahoma"/>
      <family val="2"/>
    </font>
    <font>
      <b/>
      <sz val="9"/>
      <color rgb="FF000000"/>
      <name val="Arial"/>
      <family val="2"/>
    </font>
    <font>
      <b/>
      <sz val="10"/>
      <color rgb="FFCC00FF"/>
      <name val="Arial"/>
      <family val="2"/>
    </font>
    <font>
      <sz val="10"/>
      <color theme="0"/>
      <name val="Arial"/>
      <family val="2"/>
    </font>
    <font>
      <sz val="10"/>
      <color rgb="FFE8FCFE"/>
      <name val="Arial"/>
      <family val="2"/>
    </font>
    <font>
      <sz val="11"/>
      <name val="Calibri"/>
      <family val="2"/>
    </font>
    <font>
      <b/>
      <sz val="10"/>
      <color theme="0"/>
      <name val="Arial"/>
      <family val="2"/>
    </font>
    <font>
      <sz val="14"/>
      <name val="Calibri"/>
      <family val="2"/>
    </font>
    <font>
      <sz val="11"/>
      <color rgb="FF9C0006"/>
      <name val="Calibri"/>
      <family val="2"/>
      <scheme val="minor"/>
    </font>
    <font>
      <b/>
      <sz val="12"/>
      <name val="Arial"/>
      <family val="2"/>
    </font>
    <font>
      <b/>
      <sz val="14"/>
      <name val="Arial"/>
      <family val="2"/>
    </font>
    <font>
      <b/>
      <sz val="12"/>
      <color theme="0"/>
      <name val="Arial"/>
      <family val="2"/>
    </font>
    <font>
      <u/>
      <sz val="10"/>
      <color rgb="FFFF0000"/>
      <name val="Arial"/>
      <family val="2"/>
    </font>
  </fonts>
  <fills count="29">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rgb="FFFF9900"/>
        <bgColor indexed="64"/>
      </patternFill>
    </fill>
    <fill>
      <patternFill patternType="solid">
        <fgColor rgb="FF99CC00"/>
        <bgColor indexed="64"/>
      </patternFill>
    </fill>
    <fill>
      <patternFill patternType="solid">
        <fgColor rgb="FFC0C0C0"/>
        <bgColor indexed="64"/>
      </patternFill>
    </fill>
    <fill>
      <patternFill patternType="solid">
        <fgColor theme="0" tint="-0.499984740745262"/>
        <bgColor indexed="64"/>
      </patternFill>
    </fill>
    <fill>
      <patternFill patternType="solid">
        <fgColor rgb="FFFFFFCC"/>
        <bgColor indexed="64"/>
      </patternFill>
    </fill>
    <fill>
      <patternFill patternType="solid">
        <fgColor rgb="FFFFC7CE"/>
      </patternFill>
    </fill>
    <fill>
      <patternFill patternType="solid">
        <fgColor theme="2"/>
        <bgColor indexed="64"/>
      </patternFill>
    </fill>
  </fills>
  <borders count="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55"/>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medium">
        <color auto="1"/>
      </left>
      <right/>
      <top/>
      <bottom/>
      <diagonal/>
    </border>
    <border>
      <left/>
      <right/>
      <top style="medium">
        <color auto="1"/>
      </top>
      <bottom style="medium">
        <color auto="1"/>
      </bottom>
      <diagonal/>
    </border>
    <border>
      <left/>
      <right/>
      <top style="thin">
        <color indexed="64"/>
      </top>
      <bottom style="medium">
        <color indexed="64"/>
      </bottom>
      <diagonal/>
    </border>
    <border>
      <left/>
      <right style="medium">
        <color indexed="64"/>
      </right>
      <top style="thin">
        <color indexed="64"/>
      </top>
      <bottom/>
      <diagonal/>
    </border>
  </borders>
  <cellStyleXfs count="7">
    <xf numFmtId="0" fontId="0" fillId="0" borderId="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2" fillId="0" borderId="0"/>
    <xf numFmtId="0" fontId="1" fillId="0" borderId="0"/>
    <xf numFmtId="43" fontId="1" fillId="0" borderId="0" applyFont="0" applyFill="0" applyBorder="0" applyAlignment="0" applyProtection="0"/>
    <xf numFmtId="0" fontId="90" fillId="27" borderId="0" applyNumberFormat="0" applyBorder="0" applyAlignment="0" applyProtection="0"/>
  </cellStyleXfs>
  <cellXfs count="892">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169" fontId="0" fillId="0" borderId="0" xfId="0" applyNumberFormat="1"/>
    <xf numFmtId="10" fontId="0" fillId="0" borderId="0" xfId="0" applyNumberFormat="1"/>
    <xf numFmtId="0" fontId="14" fillId="3" borderId="0" xfId="0" applyFont="1" applyFill="1" applyAlignment="1">
      <alignment horizontal="right"/>
    </xf>
    <xf numFmtId="0" fontId="14" fillId="3" borderId="0" xfId="0" applyFont="1" applyFill="1"/>
    <xf numFmtId="0" fontId="0" fillId="4" borderId="2" xfId="0" applyFill="1" applyBorder="1"/>
    <xf numFmtId="0" fontId="16" fillId="3" borderId="4" xfId="0" applyFont="1" applyFill="1" applyBorder="1"/>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2"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15" fillId="0" borderId="0" xfId="0" applyFont="1"/>
    <xf numFmtId="0" fontId="0" fillId="10" borderId="0" xfId="0" applyFill="1"/>
    <xf numFmtId="0" fontId="0" fillId="0" borderId="0" xfId="0" applyAlignment="1">
      <alignment horizontal="right"/>
    </xf>
    <xf numFmtId="0" fontId="17" fillId="0" borderId="0" xfId="0" applyFont="1"/>
    <xf numFmtId="11" fontId="7" fillId="0" borderId="0" xfId="0" applyNumberFormat="1" applyFont="1"/>
    <xf numFmtId="0" fontId="0" fillId="11" borderId="0" xfId="0" applyFill="1"/>
    <xf numFmtId="168" fontId="0" fillId="0" borderId="0" xfId="0" applyNumberFormat="1"/>
    <xf numFmtId="0" fontId="3" fillId="0" borderId="0" xfId="0" applyFont="1" applyAlignment="1">
      <alignment horizontal="center"/>
    </xf>
    <xf numFmtId="0" fontId="3" fillId="4" borderId="0" xfId="0" applyFont="1" applyFill="1" applyAlignment="1">
      <alignment horizontal="center"/>
    </xf>
    <xf numFmtId="0" fontId="3" fillId="12" borderId="0" xfId="0" applyFont="1" applyFill="1" applyAlignment="1">
      <alignment horizontal="center"/>
    </xf>
    <xf numFmtId="0" fontId="3" fillId="13" borderId="0" xfId="0" applyFont="1" applyFill="1" applyAlignment="1">
      <alignment horizontal="center"/>
    </xf>
    <xf numFmtId="165" fontId="0" fillId="0" borderId="0" xfId="0" applyNumberFormat="1"/>
    <xf numFmtId="171" fontId="17" fillId="3" borderId="0" xfId="0" applyNumberFormat="1" applyFont="1" applyFill="1" applyAlignment="1">
      <alignment horizontal="center"/>
    </xf>
    <xf numFmtId="171" fontId="25" fillId="3" borderId="0" xfId="0" applyNumberFormat="1" applyFont="1" applyFill="1" applyAlignment="1">
      <alignment horizontal="center"/>
    </xf>
    <xf numFmtId="0" fontId="0" fillId="0" borderId="28" xfId="0" applyBorder="1"/>
    <xf numFmtId="0" fontId="0" fillId="0" borderId="29" xfId="0" applyBorder="1"/>
    <xf numFmtId="0" fontId="8" fillId="0" borderId="28" xfId="0" applyFont="1" applyBorder="1"/>
    <xf numFmtId="0" fontId="0" fillId="13" borderId="0" xfId="0" applyFill="1"/>
    <xf numFmtId="0" fontId="0" fillId="0" borderId="30" xfId="0" applyBorder="1"/>
    <xf numFmtId="0" fontId="0" fillId="0" borderId="31" xfId="0" applyBorder="1"/>
    <xf numFmtId="0" fontId="0" fillId="0" borderId="32" xfId="0" applyBorder="1"/>
    <xf numFmtId="0" fontId="0" fillId="0" borderId="2" xfId="0" applyBorder="1"/>
    <xf numFmtId="0" fontId="0" fillId="0" borderId="3" xfId="0" applyBorder="1"/>
    <xf numFmtId="0" fontId="7" fillId="0" borderId="28" xfId="0" applyFont="1" applyBorder="1"/>
    <xf numFmtId="0" fontId="3" fillId="0" borderId="28" xfId="0" applyFont="1" applyBorder="1"/>
    <xf numFmtId="11" fontId="0" fillId="13" borderId="0" xfId="0" applyNumberFormat="1" applyFill="1"/>
    <xf numFmtId="0" fontId="0" fillId="12" borderId="0" xfId="0" applyFill="1"/>
    <xf numFmtId="11" fontId="0" fillId="12" borderId="0" xfId="0" applyNumberFormat="1" applyFill="1"/>
    <xf numFmtId="0" fontId="0" fillId="0" borderId="31" xfId="0" applyBorder="1" applyAlignment="1">
      <alignment horizontal="right"/>
    </xf>
    <xf numFmtId="11" fontId="7" fillId="0" borderId="31"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9" borderId="0" xfId="0" applyFill="1"/>
    <xf numFmtId="0" fontId="0" fillId="0" borderId="8" xfId="0" applyBorder="1"/>
    <xf numFmtId="0" fontId="0" fillId="4" borderId="13" xfId="0" applyFill="1" applyBorder="1"/>
    <xf numFmtId="0" fontId="8" fillId="9" borderId="11" xfId="0" applyFont="1" applyFill="1" applyBorder="1"/>
    <xf numFmtId="0" fontId="17" fillId="3" borderId="0" xfId="0" applyFont="1" applyFill="1"/>
    <xf numFmtId="0" fontId="18" fillId="9" borderId="0" xfId="0" applyFont="1" applyFill="1"/>
    <xf numFmtId="0" fontId="17" fillId="9" borderId="0" xfId="0" applyFont="1" applyFill="1" applyAlignment="1">
      <alignment horizontal="right"/>
    </xf>
    <xf numFmtId="0" fontId="18" fillId="9" borderId="0" xfId="0" applyFont="1" applyFill="1" applyAlignment="1">
      <alignment horizontal="right"/>
    </xf>
    <xf numFmtId="0" fontId="17" fillId="9" borderId="0" xfId="0" applyFont="1" applyFill="1"/>
    <xf numFmtId="0" fontId="25" fillId="15" borderId="19" xfId="0" applyFont="1" applyFill="1" applyBorder="1"/>
    <xf numFmtId="0" fontId="25" fillId="15" borderId="20" xfId="0" applyFont="1" applyFill="1" applyBorder="1"/>
    <xf numFmtId="0" fontId="25" fillId="3" borderId="0" xfId="0" applyFont="1" applyFill="1"/>
    <xf numFmtId="0" fontId="17" fillId="9" borderId="0" xfId="0" applyFont="1" applyFill="1" applyAlignment="1">
      <alignment horizontal="left"/>
    </xf>
    <xf numFmtId="0" fontId="21" fillId="0" borderId="0" xfId="0" applyFont="1"/>
    <xf numFmtId="0" fontId="0" fillId="0" borderId="1" xfId="0" applyBorder="1"/>
    <xf numFmtId="0" fontId="3" fillId="0" borderId="1" xfId="0" applyFont="1" applyBorder="1"/>
    <xf numFmtId="0" fontId="22" fillId="0" borderId="0" xfId="0" applyFont="1"/>
    <xf numFmtId="0" fontId="30" fillId="0" borderId="0" xfId="0" applyFont="1"/>
    <xf numFmtId="0" fontId="30" fillId="4" borderId="0" xfId="0" applyFont="1" applyFill="1"/>
    <xf numFmtId="0" fontId="21" fillId="0" borderId="38" xfId="0" applyFont="1" applyBorder="1"/>
    <xf numFmtId="0" fontId="0" fillId="0" borderId="33" xfId="0" applyBorder="1"/>
    <xf numFmtId="0" fontId="0" fillId="0" borderId="35" xfId="0" applyBorder="1"/>
    <xf numFmtId="0" fontId="8" fillId="0" borderId="39" xfId="0" applyFont="1" applyBorder="1"/>
    <xf numFmtId="0" fontId="0" fillId="0" borderId="36" xfId="0" applyBorder="1"/>
    <xf numFmtId="0" fontId="30" fillId="0" borderId="39" xfId="0" applyFont="1" applyBorder="1"/>
    <xf numFmtId="0" fontId="30" fillId="0" borderId="40" xfId="0" applyFont="1" applyBorder="1"/>
    <xf numFmtId="0" fontId="30" fillId="0" borderId="34" xfId="0" applyFont="1" applyBorder="1"/>
    <xf numFmtId="0" fontId="0" fillId="0" borderId="34" xfId="0" applyBorder="1"/>
    <xf numFmtId="0" fontId="0" fillId="0" borderId="37" xfId="0" applyBorder="1"/>
    <xf numFmtId="0" fontId="8" fillId="0" borderId="31" xfId="0" applyFont="1" applyBorder="1"/>
    <xf numFmtId="0" fontId="8" fillId="13" borderId="0" xfId="0" applyFont="1" applyFill="1"/>
    <xf numFmtId="0" fontId="17" fillId="9" borderId="29" xfId="0" applyFont="1" applyFill="1" applyBorder="1"/>
    <xf numFmtId="0" fontId="19" fillId="9" borderId="0" xfId="0" applyFont="1" applyFill="1"/>
    <xf numFmtId="167" fontId="17" fillId="9" borderId="0" xfId="0" applyNumberFormat="1" applyFont="1" applyFill="1"/>
    <xf numFmtId="170" fontId="17" fillId="9" borderId="0" xfId="0" applyNumberFormat="1" applyFont="1" applyFill="1"/>
    <xf numFmtId="166" fontId="17" fillId="9" borderId="0" xfId="0" applyNumberFormat="1" applyFont="1" applyFill="1"/>
    <xf numFmtId="2" fontId="30" fillId="12" borderId="0" xfId="0" applyNumberFormat="1" applyFont="1" applyFill="1"/>
    <xf numFmtId="0" fontId="17" fillId="16"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1" xfId="0" applyFont="1" applyBorder="1"/>
    <xf numFmtId="0" fontId="33" fillId="9" borderId="0" xfId="0" applyFont="1" applyFill="1"/>
    <xf numFmtId="0" fontId="20" fillId="19" borderId="0" xfId="0" applyFont="1" applyFill="1" applyAlignment="1">
      <alignment vertical="center"/>
    </xf>
    <xf numFmtId="0" fontId="0" fillId="18" borderId="0" xfId="0" applyFill="1"/>
    <xf numFmtId="0" fontId="50" fillId="18" borderId="0" xfId="0" applyFont="1" applyFill="1"/>
    <xf numFmtId="0" fontId="23" fillId="9" borderId="0" xfId="0" applyFont="1" applyFill="1" applyAlignment="1">
      <alignment horizontal="right"/>
    </xf>
    <xf numFmtId="0" fontId="3" fillId="9" borderId="0" xfId="0" applyFont="1" applyFill="1" applyAlignment="1">
      <alignment horizontal="right"/>
    </xf>
    <xf numFmtId="0" fontId="2" fillId="9" borderId="0" xfId="0" applyFont="1" applyFill="1" applyAlignment="1">
      <alignment horizontal="right"/>
    </xf>
    <xf numFmtId="0" fontId="2" fillId="9" borderId="31" xfId="0" applyFont="1" applyFill="1" applyBorder="1" applyAlignment="1">
      <alignment horizontal="right"/>
    </xf>
    <xf numFmtId="0" fontId="2" fillId="9" borderId="28" xfId="0" applyFont="1" applyFill="1" applyBorder="1"/>
    <xf numFmtId="0" fontId="2" fillId="9" borderId="0" xfId="0" applyFont="1" applyFill="1"/>
    <xf numFmtId="0" fontId="3" fillId="19" borderId="0" xfId="0" applyFont="1" applyFill="1" applyProtection="1">
      <protection locked="0"/>
    </xf>
    <xf numFmtId="0" fontId="53" fillId="9" borderId="0" xfId="0" applyFont="1" applyFill="1"/>
    <xf numFmtId="1" fontId="3" fillId="19" borderId="0" xfId="0" applyNumberFormat="1" applyFont="1" applyFill="1" applyProtection="1">
      <protection locked="0"/>
    </xf>
    <xf numFmtId="0" fontId="55" fillId="9" borderId="0" xfId="0" applyFont="1" applyFill="1"/>
    <xf numFmtId="0" fontId="3" fillId="9" borderId="0" xfId="0" applyFont="1" applyFill="1"/>
    <xf numFmtId="168" fontId="3" fillId="9" borderId="0" xfId="0" applyNumberFormat="1" applyFont="1" applyFill="1"/>
    <xf numFmtId="0" fontId="2" fillId="16" borderId="0" xfId="0" applyFont="1" applyFill="1"/>
    <xf numFmtId="0" fontId="3" fillId="9" borderId="28" xfId="0" applyFont="1" applyFill="1" applyBorder="1"/>
    <xf numFmtId="0" fontId="55" fillId="16" borderId="0" xfId="0" applyFont="1" applyFill="1"/>
    <xf numFmtId="1" fontId="52" fillId="9" borderId="0" xfId="0" applyNumberFormat="1" applyFont="1" applyFill="1" applyAlignment="1">
      <alignment horizontal="right"/>
    </xf>
    <xf numFmtId="0" fontId="57" fillId="15" borderId="19" xfId="0" applyFont="1" applyFill="1" applyBorder="1"/>
    <xf numFmtId="0" fontId="55" fillId="9" borderId="0" xfId="0" applyFont="1" applyFill="1" applyAlignment="1">
      <alignment vertical="center"/>
    </xf>
    <xf numFmtId="0" fontId="7" fillId="9" borderId="0" xfId="0" applyFont="1" applyFill="1" applyAlignment="1">
      <alignment horizontal="right"/>
    </xf>
    <xf numFmtId="168" fontId="7" fillId="9" borderId="0" xfId="0" applyNumberFormat="1" applyFont="1" applyFill="1"/>
    <xf numFmtId="0" fontId="7" fillId="9" borderId="0" xfId="0" applyFont="1" applyFill="1"/>
    <xf numFmtId="0" fontId="2" fillId="16" borderId="0" xfId="0" applyFont="1" applyFill="1" applyAlignment="1">
      <alignment horizontal="left"/>
    </xf>
    <xf numFmtId="1" fontId="2" fillId="16" borderId="0" xfId="0" applyNumberFormat="1" applyFont="1" applyFill="1" applyAlignment="1">
      <alignment horizontal="right"/>
    </xf>
    <xf numFmtId="0" fontId="3" fillId="9" borderId="0" xfId="0" applyFont="1" applyFill="1" applyAlignment="1">
      <alignment horizontal="left"/>
    </xf>
    <xf numFmtId="0" fontId="58" fillId="9" borderId="0" xfId="0" applyFont="1" applyFill="1"/>
    <xf numFmtId="0" fontId="2" fillId="9" borderId="0" xfId="0" applyFont="1" applyFill="1" applyAlignment="1">
      <alignment horizontal="left"/>
    </xf>
    <xf numFmtId="0" fontId="56" fillId="19" borderId="0" xfId="0" applyFont="1" applyFill="1" applyAlignment="1" applyProtection="1">
      <alignment horizontal="right"/>
      <protection locked="0" hidden="1"/>
    </xf>
    <xf numFmtId="0" fontId="59" fillId="15" borderId="19" xfId="0" applyFont="1" applyFill="1" applyBorder="1"/>
    <xf numFmtId="0" fontId="22" fillId="9" borderId="28" xfId="0" applyFont="1" applyFill="1" applyBorder="1"/>
    <xf numFmtId="1" fontId="2" fillId="9" borderId="0" xfId="0" applyNumberFormat="1" applyFont="1" applyFill="1"/>
    <xf numFmtId="0" fontId="61" fillId="9" borderId="0" xfId="0" applyFont="1" applyFill="1" applyAlignment="1">
      <alignment horizontal="right"/>
    </xf>
    <xf numFmtId="0" fontId="2" fillId="9" borderId="2" xfId="0" applyFont="1" applyFill="1" applyBorder="1"/>
    <xf numFmtId="0" fontId="2" fillId="9" borderId="2" xfId="0" applyFont="1" applyFill="1" applyBorder="1" applyAlignment="1">
      <alignment horizontal="right"/>
    </xf>
    <xf numFmtId="0" fontId="61" fillId="9" borderId="2" xfId="0" applyFont="1" applyFill="1" applyBorder="1" applyAlignment="1">
      <alignment horizontal="right"/>
    </xf>
    <xf numFmtId="0" fontId="3" fillId="9" borderId="3" xfId="0" applyFont="1" applyFill="1" applyBorder="1"/>
    <xf numFmtId="0" fontId="3" fillId="9" borderId="29" xfId="0" applyFont="1" applyFill="1" applyBorder="1"/>
    <xf numFmtId="0" fontId="2" fillId="9" borderId="30" xfId="0" applyFont="1" applyFill="1" applyBorder="1"/>
    <xf numFmtId="0" fontId="2" fillId="9" borderId="31" xfId="0" applyFont="1" applyFill="1" applyBorder="1"/>
    <xf numFmtId="0" fontId="2" fillId="9" borderId="32" xfId="0" applyFont="1" applyFill="1" applyBorder="1"/>
    <xf numFmtId="0" fontId="2" fillId="9" borderId="3" xfId="0" applyFont="1" applyFill="1" applyBorder="1"/>
    <xf numFmtId="0" fontId="2" fillId="9" borderId="29" xfId="0" applyFont="1" applyFill="1" applyBorder="1"/>
    <xf numFmtId="0" fontId="3" fillId="9" borderId="2" xfId="0" applyFont="1" applyFill="1" applyBorder="1"/>
    <xf numFmtId="0" fontId="3" fillId="9" borderId="2" xfId="0" applyFont="1" applyFill="1" applyBorder="1" applyAlignment="1">
      <alignment horizontal="right"/>
    </xf>
    <xf numFmtId="1" fontId="3" fillId="19" borderId="2" xfId="0" applyNumberFormat="1" applyFont="1" applyFill="1" applyBorder="1" applyProtection="1">
      <protection locked="0"/>
    </xf>
    <xf numFmtId="0" fontId="2" fillId="16" borderId="41" xfId="0" applyFont="1" applyFill="1" applyBorder="1" applyAlignment="1">
      <alignment horizontal="left"/>
    </xf>
    <xf numFmtId="0" fontId="56" fillId="19" borderId="41" xfId="0" applyFont="1" applyFill="1" applyBorder="1" applyAlignment="1" applyProtection="1">
      <alignment horizontal="right"/>
      <protection locked="0" hidden="1"/>
    </xf>
    <xf numFmtId="0" fontId="56" fillId="9" borderId="42" xfId="0" applyFont="1" applyFill="1" applyBorder="1" applyAlignment="1">
      <alignment horizontal="left"/>
    </xf>
    <xf numFmtId="0" fontId="56" fillId="9" borderId="29" xfId="0" applyFont="1" applyFill="1" applyBorder="1" applyAlignment="1">
      <alignment horizontal="left"/>
    </xf>
    <xf numFmtId="0" fontId="3" fillId="9" borderId="43" xfId="0" applyFont="1" applyFill="1" applyBorder="1" applyAlignment="1">
      <alignment horizontal="center"/>
    </xf>
    <xf numFmtId="0" fontId="3" fillId="9" borderId="28" xfId="0" applyFont="1" applyFill="1" applyBorder="1" applyAlignment="1">
      <alignment horizontal="center"/>
    </xf>
    <xf numFmtId="0" fontId="3" fillId="9" borderId="43" xfId="0" applyFont="1" applyFill="1" applyBorder="1"/>
    <xf numFmtId="0" fontId="3" fillId="9" borderId="41" xfId="0" applyFont="1" applyFill="1" applyBorder="1"/>
    <xf numFmtId="0" fontId="2" fillId="9" borderId="45" xfId="0" applyFont="1" applyFill="1" applyBorder="1"/>
    <xf numFmtId="0" fontId="3" fillId="9" borderId="45" xfId="0" applyFont="1" applyFill="1" applyBorder="1" applyAlignment="1">
      <alignment horizontal="right"/>
    </xf>
    <xf numFmtId="0" fontId="2" fillId="9" borderId="46" xfId="0" applyFont="1" applyFill="1" applyBorder="1"/>
    <xf numFmtId="0" fontId="2" fillId="16" borderId="45" xfId="0" applyFont="1" applyFill="1" applyBorder="1" applyAlignment="1">
      <alignment horizontal="left"/>
    </xf>
    <xf numFmtId="0" fontId="56" fillId="19" borderId="45" xfId="0" applyFont="1" applyFill="1" applyBorder="1" applyAlignment="1" applyProtection="1">
      <alignment horizontal="right"/>
      <protection locked="0" hidden="1"/>
    </xf>
    <xf numFmtId="0" fontId="56" fillId="9" borderId="46" xfId="0" applyFont="1" applyFill="1" applyBorder="1" applyAlignment="1">
      <alignment horizontal="left"/>
    </xf>
    <xf numFmtId="168" fontId="2" fillId="9" borderId="41" xfId="0" applyNumberFormat="1" applyFont="1" applyFill="1" applyBorder="1" applyAlignment="1">
      <alignment horizontal="left" vertical="center"/>
    </xf>
    <xf numFmtId="1" fontId="2" fillId="9" borderId="45" xfId="0" applyNumberFormat="1" applyFont="1" applyFill="1" applyBorder="1" applyAlignment="1">
      <alignment horizontal="left" vertical="center"/>
    </xf>
    <xf numFmtId="0" fontId="22" fillId="9" borderId="28" xfId="0" applyFont="1" applyFill="1" applyBorder="1" applyAlignment="1">
      <alignment vertical="center"/>
    </xf>
    <xf numFmtId="0" fontId="2" fillId="9" borderId="43" xfId="0" applyFont="1" applyFill="1" applyBorder="1"/>
    <xf numFmtId="0" fontId="2" fillId="16" borderId="28" xfId="0" applyFont="1" applyFill="1" applyBorder="1"/>
    <xf numFmtId="1" fontId="3" fillId="16" borderId="28" xfId="0" applyNumberFormat="1" applyFont="1" applyFill="1" applyBorder="1" applyAlignment="1">
      <alignment horizontal="right" vertical="center"/>
    </xf>
    <xf numFmtId="0" fontId="57" fillId="15" borderId="47" xfId="0" applyFont="1" applyFill="1" applyBorder="1"/>
    <xf numFmtId="0" fontId="17" fillId="3" borderId="28" xfId="0" applyFont="1" applyFill="1" applyBorder="1"/>
    <xf numFmtId="171" fontId="17" fillId="18" borderId="0" xfId="0" applyNumberFormat="1" applyFont="1" applyFill="1" applyAlignment="1">
      <alignment horizontal="center"/>
    </xf>
    <xf numFmtId="0" fontId="17" fillId="18" borderId="0" xfId="0" applyFont="1" applyFill="1"/>
    <xf numFmtId="171" fontId="25" fillId="18" borderId="0" xfId="0" applyNumberFormat="1" applyFont="1" applyFill="1" applyAlignment="1">
      <alignment horizontal="center"/>
    </xf>
    <xf numFmtId="0" fontId="25" fillId="18" borderId="0" xfId="0" applyFont="1" applyFill="1"/>
    <xf numFmtId="0" fontId="2" fillId="9" borderId="44" xfId="0" applyFont="1" applyFill="1" applyBorder="1"/>
    <xf numFmtId="0" fontId="3" fillId="9" borderId="45" xfId="0" applyFont="1" applyFill="1" applyBorder="1"/>
    <xf numFmtId="0" fontId="2" fillId="9" borderId="48" xfId="0" applyFont="1" applyFill="1" applyBorder="1"/>
    <xf numFmtId="0" fontId="65" fillId="9" borderId="0" xfId="0" applyFont="1" applyFill="1"/>
    <xf numFmtId="0" fontId="65" fillId="9" borderId="29" xfId="0" applyFont="1" applyFill="1" applyBorder="1"/>
    <xf numFmtId="171" fontId="65" fillId="18" borderId="0" xfId="0" applyNumberFormat="1" applyFont="1" applyFill="1" applyAlignment="1">
      <alignment horizontal="center"/>
    </xf>
    <xf numFmtId="0" fontId="65" fillId="18" borderId="0" xfId="0" applyFont="1" applyFill="1"/>
    <xf numFmtId="171" fontId="65" fillId="3" borderId="0" xfId="0" applyNumberFormat="1" applyFont="1" applyFill="1" applyAlignment="1">
      <alignment horizontal="center"/>
    </xf>
    <xf numFmtId="0" fontId="65" fillId="3" borderId="0" xfId="0" applyFont="1" applyFill="1"/>
    <xf numFmtId="0" fontId="63" fillId="9" borderId="41" xfId="0" applyFont="1" applyFill="1" applyBorder="1" applyAlignment="1">
      <alignment horizontal="right"/>
    </xf>
    <xf numFmtId="0" fontId="2" fillId="16" borderId="31" xfId="0" applyFont="1" applyFill="1" applyBorder="1"/>
    <xf numFmtId="0" fontId="17" fillId="9" borderId="31" xfId="0" applyFont="1" applyFill="1" applyBorder="1"/>
    <xf numFmtId="0" fontId="17" fillId="9" borderId="32" xfId="0" applyFont="1" applyFill="1" applyBorder="1"/>
    <xf numFmtId="0" fontId="64" fillId="9" borderId="28" xfId="0" applyFont="1" applyFill="1" applyBorder="1" applyAlignment="1">
      <alignment vertical="center"/>
    </xf>
    <xf numFmtId="0" fontId="63" fillId="9" borderId="0" xfId="0" applyFont="1" applyFill="1" applyAlignment="1">
      <alignment horizontal="right" vertical="center"/>
    </xf>
    <xf numFmtId="0" fontId="63" fillId="0" borderId="0" xfId="0" applyFont="1" applyAlignment="1">
      <alignment horizontal="left" vertical="center"/>
    </xf>
    <xf numFmtId="0" fontId="2" fillId="0" borderId="1" xfId="0" applyFont="1" applyBorder="1"/>
    <xf numFmtId="0" fontId="2" fillId="0" borderId="28" xfId="0" applyFont="1" applyBorder="1"/>
    <xf numFmtId="0" fontId="68" fillId="0" borderId="0" xfId="0" applyFont="1"/>
    <xf numFmtId="0" fontId="2" fillId="9" borderId="0" xfId="3" applyFill="1"/>
    <xf numFmtId="49" fontId="2" fillId="9" borderId="0" xfId="3" applyNumberFormat="1" applyFill="1"/>
    <xf numFmtId="0" fontId="11" fillId="9" borderId="0" xfId="3" applyFont="1" applyFill="1" applyAlignment="1">
      <alignment vertical="center"/>
    </xf>
    <xf numFmtId="0" fontId="2" fillId="20" borderId="18" xfId="3" applyFill="1" applyBorder="1" applyAlignment="1">
      <alignment horizontal="center" vertical="center"/>
    </xf>
    <xf numFmtId="0" fontId="2" fillId="9" borderId="18" xfId="3" applyFill="1" applyBorder="1" applyAlignment="1">
      <alignment horizontal="center" vertical="center"/>
    </xf>
    <xf numFmtId="0" fontId="2" fillId="9" borderId="11" xfId="3" applyFill="1" applyBorder="1" applyAlignment="1">
      <alignment vertical="center" wrapText="1"/>
    </xf>
    <xf numFmtId="0" fontId="2" fillId="9" borderId="11" xfId="3" applyFill="1" applyBorder="1" applyAlignment="1">
      <alignment horizontal="left" vertical="center"/>
    </xf>
    <xf numFmtId="0" fontId="2" fillId="9" borderId="0" xfId="3" applyFill="1" applyAlignment="1">
      <alignment vertical="center"/>
    </xf>
    <xf numFmtId="49" fontId="2" fillId="9" borderId="0" xfId="3" applyNumberFormat="1" applyFill="1" applyAlignment="1">
      <alignment vertical="center"/>
    </xf>
    <xf numFmtId="0" fontId="2" fillId="21" borderId="18" xfId="3" applyFill="1" applyBorder="1" applyAlignment="1">
      <alignment horizontal="center" vertical="center"/>
    </xf>
    <xf numFmtId="0" fontId="2" fillId="21" borderId="11" xfId="3" applyFill="1" applyBorder="1" applyAlignment="1">
      <alignment vertical="center" wrapText="1"/>
    </xf>
    <xf numFmtId="173" fontId="2" fillId="21" borderId="11" xfId="3" applyNumberFormat="1" applyFill="1" applyBorder="1" applyAlignment="1">
      <alignment horizontal="center" vertical="center"/>
    </xf>
    <xf numFmtId="0" fontId="2" fillId="21" borderId="11" xfId="3" quotePrefix="1" applyFill="1" applyBorder="1" applyAlignment="1">
      <alignment horizontal="left" vertical="center"/>
    </xf>
    <xf numFmtId="0" fontId="2" fillId="21" borderId="11" xfId="3" applyFill="1" applyBorder="1" applyAlignment="1">
      <alignment horizontal="left" vertical="center"/>
    </xf>
    <xf numFmtId="0" fontId="2" fillId="16" borderId="18" xfId="3" applyFill="1" applyBorder="1" applyAlignment="1">
      <alignment horizontal="center" vertical="center"/>
    </xf>
    <xf numFmtId="0" fontId="2" fillId="16" borderId="11" xfId="3" applyFill="1" applyBorder="1" applyAlignment="1">
      <alignment vertical="center" wrapText="1"/>
    </xf>
    <xf numFmtId="173" fontId="2" fillId="16" borderId="11" xfId="3" applyNumberFormat="1" applyFill="1" applyBorder="1" applyAlignment="1">
      <alignment horizontal="center" vertical="center"/>
    </xf>
    <xf numFmtId="0" fontId="2" fillId="16" borderId="11" xfId="3" quotePrefix="1" applyFill="1" applyBorder="1" applyAlignment="1">
      <alignment horizontal="left" vertical="center"/>
    </xf>
    <xf numFmtId="0" fontId="2" fillId="16" borderId="11" xfId="3" applyFill="1" applyBorder="1" applyAlignment="1">
      <alignment horizontal="left" vertical="center"/>
    </xf>
    <xf numFmtId="175" fontId="2" fillId="9" borderId="11" xfId="3" applyNumberFormat="1" applyFill="1" applyBorder="1" applyAlignment="1">
      <alignment horizontal="center" vertical="center"/>
    </xf>
    <xf numFmtId="0" fontId="2" fillId="9" borderId="15" xfId="3" applyFill="1" applyBorder="1" applyAlignment="1">
      <alignment horizontal="left" vertical="center"/>
    </xf>
    <xf numFmtId="49" fontId="2" fillId="9" borderId="11" xfId="3" applyNumberFormat="1" applyFill="1" applyBorder="1" applyAlignment="1">
      <alignment horizontal="left" vertical="center"/>
    </xf>
    <xf numFmtId="0" fontId="2" fillId="20" borderId="11" xfId="3" applyFill="1" applyBorder="1" applyAlignment="1">
      <alignment vertical="center" wrapText="1"/>
    </xf>
    <xf numFmtId="174" fontId="2" fillId="20" borderId="11" xfId="3" applyNumberFormat="1" applyFill="1" applyBorder="1" applyAlignment="1">
      <alignment horizontal="center" vertical="center"/>
    </xf>
    <xf numFmtId="0" fontId="2" fillId="20" borderId="15" xfId="3" applyFill="1" applyBorder="1" applyAlignment="1">
      <alignment horizontal="left" vertical="center"/>
    </xf>
    <xf numFmtId="0" fontId="2" fillId="20" borderId="11" xfId="3" quotePrefix="1" applyFill="1" applyBorder="1" applyAlignment="1">
      <alignment horizontal="left" vertical="center"/>
    </xf>
    <xf numFmtId="0" fontId="2" fillId="20" borderId="11" xfId="3" applyFill="1" applyBorder="1" applyAlignment="1">
      <alignment horizontal="left" vertical="center"/>
    </xf>
    <xf numFmtId="0" fontId="2" fillId="16" borderId="15" xfId="3" applyFill="1" applyBorder="1" applyAlignment="1">
      <alignment horizontal="left" vertical="center"/>
    </xf>
    <xf numFmtId="175" fontId="2" fillId="16" borderId="11" xfId="3" applyNumberFormat="1" applyFill="1" applyBorder="1" applyAlignment="1">
      <alignment horizontal="center" vertical="center"/>
    </xf>
    <xf numFmtId="175" fontId="2" fillId="20" borderId="11" xfId="3" applyNumberFormat="1" applyFill="1" applyBorder="1" applyAlignment="1">
      <alignment horizontal="center" vertical="center"/>
    </xf>
    <xf numFmtId="172" fontId="2" fillId="20" borderId="11" xfId="3" applyNumberFormat="1" applyFill="1" applyBorder="1" applyAlignment="1">
      <alignment horizontal="center" vertical="center"/>
    </xf>
    <xf numFmtId="0" fontId="2" fillId="16" borderId="11" xfId="3" applyFill="1" applyBorder="1" applyAlignment="1">
      <alignment horizontal="center" vertical="center"/>
    </xf>
    <xf numFmtId="176" fontId="2" fillId="20" borderId="11" xfId="3" applyNumberFormat="1" applyFill="1" applyBorder="1" applyAlignment="1">
      <alignment horizontal="center" vertical="center"/>
    </xf>
    <xf numFmtId="0" fontId="2" fillId="16" borderId="0" xfId="3" applyFill="1"/>
    <xf numFmtId="49" fontId="2" fillId="16" borderId="0" xfId="3" applyNumberFormat="1" applyFill="1"/>
    <xf numFmtId="0" fontId="3" fillId="19" borderId="45" xfId="0" applyFont="1" applyFill="1" applyBorder="1" applyProtection="1">
      <protection locked="0"/>
    </xf>
    <xf numFmtId="0" fontId="3" fillId="19" borderId="0" xfId="0" applyFont="1" applyFill="1" applyAlignment="1" applyProtection="1">
      <alignment horizontal="right"/>
      <protection locked="0"/>
    </xf>
    <xf numFmtId="0" fontId="3" fillId="19" borderId="45" xfId="0" applyFont="1" applyFill="1" applyBorder="1" applyAlignment="1" applyProtection="1">
      <alignment horizontal="right"/>
      <protection locked="0"/>
    </xf>
    <xf numFmtId="0" fontId="70" fillId="16" borderId="0" xfId="0" applyFont="1" applyFill="1"/>
    <xf numFmtId="168" fontId="3" fillId="19" borderId="0" xfId="0" applyNumberFormat="1" applyFont="1" applyFill="1" applyProtection="1">
      <protection locked="0"/>
    </xf>
    <xf numFmtId="0" fontId="3" fillId="9" borderId="0" xfId="3" applyFont="1" applyFill="1"/>
    <xf numFmtId="1" fontId="0" fillId="4" borderId="0" xfId="0" applyNumberFormat="1" applyFill="1"/>
    <xf numFmtId="0" fontId="2" fillId="9" borderId="0" xfId="0" applyFont="1" applyFill="1" applyAlignment="1">
      <alignment vertical="center"/>
    </xf>
    <xf numFmtId="0" fontId="2" fillId="9" borderId="28" xfId="0" applyFont="1" applyFill="1" applyBorder="1" applyAlignment="1">
      <alignment vertical="center"/>
    </xf>
    <xf numFmtId="0" fontId="2" fillId="9" borderId="0" xfId="0" applyFont="1" applyFill="1" applyAlignment="1">
      <alignment horizontal="right" vertical="center"/>
    </xf>
    <xf numFmtId="168" fontId="2" fillId="9" borderId="0" xfId="0" applyNumberFormat="1" applyFont="1" applyFill="1" applyAlignment="1">
      <alignment vertical="center"/>
    </xf>
    <xf numFmtId="0" fontId="2" fillId="9" borderId="29" xfId="0" applyFont="1" applyFill="1" applyBorder="1" applyAlignment="1">
      <alignment vertical="center"/>
    </xf>
    <xf numFmtId="1" fontId="2" fillId="9" borderId="0" xfId="0" applyNumberFormat="1" applyFont="1" applyFill="1" applyAlignment="1">
      <alignment vertical="center"/>
    </xf>
    <xf numFmtId="0" fontId="2" fillId="9" borderId="30" xfId="0" applyFont="1" applyFill="1" applyBorder="1" applyAlignment="1">
      <alignment vertical="center"/>
    </xf>
    <xf numFmtId="0" fontId="2" fillId="9" borderId="32" xfId="0" applyFont="1" applyFill="1" applyBorder="1" applyAlignment="1">
      <alignment vertical="center"/>
    </xf>
    <xf numFmtId="0" fontId="2" fillId="9" borderId="43" xfId="0" applyFont="1" applyFill="1" applyBorder="1" applyAlignment="1">
      <alignment vertical="center"/>
    </xf>
    <xf numFmtId="0" fontId="2" fillId="9" borderId="2" xfId="0" applyFont="1" applyFill="1" applyBorder="1" applyAlignment="1">
      <alignment vertical="center"/>
    </xf>
    <xf numFmtId="0" fontId="2" fillId="9" borderId="2" xfId="0" applyFont="1" applyFill="1" applyBorder="1" applyAlignment="1">
      <alignment horizontal="right" vertical="center"/>
    </xf>
    <xf numFmtId="0" fontId="3" fillId="9" borderId="3" xfId="0" applyFont="1" applyFill="1" applyBorder="1" applyAlignment="1">
      <alignment vertical="center"/>
    </xf>
    <xf numFmtId="0" fontId="61" fillId="9" borderId="0" xfId="0" applyFont="1" applyFill="1" applyAlignment="1">
      <alignment horizontal="right" vertical="center"/>
    </xf>
    <xf numFmtId="0" fontId="3" fillId="19" borderId="0" xfId="0" applyFont="1" applyFill="1" applyAlignment="1" applyProtection="1">
      <alignment vertical="center"/>
      <protection locked="0"/>
    </xf>
    <xf numFmtId="0" fontId="3" fillId="9" borderId="29" xfId="0" applyFont="1" applyFill="1" applyBorder="1" applyAlignment="1">
      <alignment vertical="center"/>
    </xf>
    <xf numFmtId="1" fontId="3" fillId="19" borderId="0" xfId="0" applyNumberFormat="1" applyFont="1" applyFill="1" applyAlignment="1" applyProtection="1">
      <alignment vertical="center"/>
      <protection locked="0"/>
    </xf>
    <xf numFmtId="0" fontId="61" fillId="16" borderId="2" xfId="0" applyFont="1" applyFill="1" applyBorder="1" applyAlignment="1">
      <alignment horizontal="right" vertical="center"/>
    </xf>
    <xf numFmtId="0" fontId="3" fillId="9" borderId="0" xfId="0" applyFont="1" applyFill="1" applyAlignment="1">
      <alignment vertical="center"/>
    </xf>
    <xf numFmtId="0" fontId="3" fillId="9" borderId="0" xfId="0" applyFont="1" applyFill="1" applyAlignment="1">
      <alignment horizontal="right" vertical="center"/>
    </xf>
    <xf numFmtId="0" fontId="2" fillId="9" borderId="45" xfId="0" applyFont="1" applyFill="1" applyBorder="1" applyAlignment="1">
      <alignment horizontal="right" vertical="center"/>
    </xf>
    <xf numFmtId="0" fontId="2" fillId="9" borderId="44" xfId="0" applyFont="1" applyFill="1" applyBorder="1" applyAlignment="1">
      <alignment vertical="center"/>
    </xf>
    <xf numFmtId="0" fontId="2" fillId="9" borderId="45" xfId="0" applyFont="1" applyFill="1" applyBorder="1" applyAlignment="1">
      <alignment vertical="center"/>
    </xf>
    <xf numFmtId="0" fontId="2" fillId="9" borderId="46" xfId="0" applyFont="1" applyFill="1" applyBorder="1" applyAlignment="1">
      <alignment vertical="center"/>
    </xf>
    <xf numFmtId="0" fontId="2" fillId="9" borderId="3" xfId="0" applyFont="1" applyFill="1" applyBorder="1" applyAlignment="1">
      <alignment vertical="center"/>
    </xf>
    <xf numFmtId="1" fontId="61" fillId="19" borderId="0" xfId="0" applyNumberFormat="1" applyFont="1" applyFill="1" applyAlignment="1" applyProtection="1">
      <alignment horizontal="right" vertical="center"/>
      <protection locked="0"/>
    </xf>
    <xf numFmtId="0" fontId="3" fillId="9" borderId="29" xfId="0" applyFont="1" applyFill="1" applyBorder="1" applyAlignment="1">
      <alignment horizontal="left" vertical="center"/>
    </xf>
    <xf numFmtId="0" fontId="61" fillId="19" borderId="0" xfId="0" applyFont="1" applyFill="1" applyAlignment="1" applyProtection="1">
      <alignment vertical="center"/>
      <protection locked="0"/>
    </xf>
    <xf numFmtId="2" fontId="7" fillId="12" borderId="2" xfId="0" applyNumberFormat="1" applyFont="1" applyFill="1" applyBorder="1"/>
    <xf numFmtId="2" fontId="7" fillId="12" borderId="0" xfId="0" applyNumberFormat="1" applyFont="1" applyFill="1"/>
    <xf numFmtId="11" fontId="7" fillId="12" borderId="0" xfId="0" applyNumberFormat="1" applyFont="1" applyFill="1"/>
    <xf numFmtId="0" fontId="0" fillId="0" borderId="41" xfId="0" applyBorder="1"/>
    <xf numFmtId="0" fontId="0" fillId="22" borderId="0" xfId="0" applyFill="1"/>
    <xf numFmtId="0" fontId="2" fillId="0" borderId="0" xfId="0" applyFont="1" applyAlignment="1">
      <alignment horizontal="right"/>
    </xf>
    <xf numFmtId="0" fontId="3" fillId="0" borderId="31" xfId="0" applyFont="1" applyBorder="1" applyAlignment="1">
      <alignment horizontal="right"/>
    </xf>
    <xf numFmtId="0" fontId="3" fillId="0" borderId="0" xfId="0" applyFont="1" applyAlignment="1">
      <alignment horizontal="right"/>
    </xf>
    <xf numFmtId="0" fontId="3" fillId="0" borderId="41" xfId="0" applyFont="1" applyBorder="1"/>
    <xf numFmtId="0" fontId="3" fillId="0" borderId="31" xfId="0" applyFont="1" applyBorder="1"/>
    <xf numFmtId="0" fontId="3" fillId="0" borderId="0" xfId="0" applyFont="1" applyAlignment="1">
      <alignment horizontal="left"/>
    </xf>
    <xf numFmtId="167" fontId="7" fillId="12" borderId="0" xfId="0" applyNumberFormat="1" applyFont="1" applyFill="1"/>
    <xf numFmtId="167" fontId="8" fillId="12" borderId="0" xfId="0" applyNumberFormat="1" applyFont="1" applyFill="1"/>
    <xf numFmtId="0" fontId="3" fillId="19" borderId="2" xfId="0" applyFont="1" applyFill="1" applyBorder="1" applyProtection="1">
      <protection locked="0"/>
    </xf>
    <xf numFmtId="0" fontId="60" fillId="16" borderId="0" xfId="0" applyFont="1" applyFill="1" applyAlignment="1">
      <alignment horizontal="center"/>
    </xf>
    <xf numFmtId="168" fontId="2" fillId="9" borderId="0" xfId="0" applyNumberFormat="1" applyFont="1" applyFill="1"/>
    <xf numFmtId="2" fontId="0" fillId="22" borderId="0" xfId="0" applyNumberFormat="1" applyFill="1"/>
    <xf numFmtId="166" fontId="0" fillId="22" borderId="0" xfId="0" applyNumberFormat="1" applyFill="1"/>
    <xf numFmtId="166" fontId="0" fillId="12" borderId="0" xfId="0" applyNumberFormat="1" applyFill="1"/>
    <xf numFmtId="1" fontId="0" fillId="0" borderId="0" xfId="0" applyNumberFormat="1"/>
    <xf numFmtId="166" fontId="0" fillId="0" borderId="0" xfId="0" applyNumberFormat="1"/>
    <xf numFmtId="168" fontId="0" fillId="22" borderId="0" xfId="0" applyNumberFormat="1" applyFill="1"/>
    <xf numFmtId="0" fontId="2" fillId="0" borderId="41" xfId="0" applyFont="1" applyBorder="1"/>
    <xf numFmtId="0" fontId="2" fillId="0" borderId="30" xfId="0" applyFont="1" applyBorder="1"/>
    <xf numFmtId="0" fontId="3" fillId="0" borderId="54" xfId="0" applyFont="1" applyBorder="1"/>
    <xf numFmtId="0" fontId="0" fillId="24" borderId="0" xfId="0" applyFill="1"/>
    <xf numFmtId="0" fontId="15" fillId="0" borderId="34" xfId="0" applyFont="1" applyBorder="1"/>
    <xf numFmtId="0" fontId="2" fillId="0" borderId="0" xfId="3"/>
    <xf numFmtId="0" fontId="2" fillId="0" borderId="18" xfId="3" applyBorder="1" applyAlignment="1">
      <alignment horizontal="left"/>
    </xf>
    <xf numFmtId="0" fontId="2" fillId="0" borderId="11" xfId="3" applyBorder="1"/>
    <xf numFmtId="0" fontId="2" fillId="0" borderId="58" xfId="3" applyBorder="1"/>
    <xf numFmtId="0" fontId="2" fillId="0" borderId="18" xfId="3" applyBorder="1"/>
    <xf numFmtId="1" fontId="2" fillId="0" borderId="11" xfId="3" applyNumberFormat="1" applyBorder="1"/>
    <xf numFmtId="0" fontId="2" fillId="0" borderId="15" xfId="3" applyBorder="1"/>
    <xf numFmtId="0" fontId="2" fillId="8" borderId="18" xfId="3" applyFill="1" applyBorder="1"/>
    <xf numFmtId="0" fontId="2" fillId="8" borderId="11" xfId="3" applyFill="1" applyBorder="1"/>
    <xf numFmtId="0" fontId="2" fillId="8" borderId="58" xfId="3" applyFill="1" applyBorder="1"/>
    <xf numFmtId="168" fontId="2" fillId="0" borderId="11" xfId="3" applyNumberFormat="1" applyBorder="1"/>
    <xf numFmtId="0" fontId="7" fillId="0" borderId="5" xfId="3" applyFont="1" applyBorder="1" applyAlignment="1">
      <alignment horizontal="center"/>
    </xf>
    <xf numFmtId="0" fontId="7" fillId="0" borderId="6" xfId="3" applyFont="1" applyBorder="1" applyAlignment="1">
      <alignment horizontal="center"/>
    </xf>
    <xf numFmtId="0" fontId="7" fillId="0" borderId="7" xfId="3" applyFont="1" applyBorder="1" applyAlignment="1">
      <alignment horizontal="center"/>
    </xf>
    <xf numFmtId="0" fontId="7" fillId="0" borderId="0" xfId="3" applyFont="1" applyAlignment="1">
      <alignment horizontal="center"/>
    </xf>
    <xf numFmtId="0" fontId="7" fillId="0" borderId="18" xfId="3" applyFont="1" applyBorder="1"/>
    <xf numFmtId="0" fontId="7" fillId="0" borderId="58" xfId="3" applyFont="1" applyBorder="1"/>
    <xf numFmtId="0" fontId="2" fillId="0" borderId="66" xfId="3" applyBorder="1" applyAlignment="1">
      <alignment horizontal="center"/>
    </xf>
    <xf numFmtId="166" fontId="2" fillId="0" borderId="67" xfId="3" applyNumberFormat="1" applyBorder="1" applyAlignment="1">
      <alignment horizontal="center"/>
    </xf>
    <xf numFmtId="166" fontId="2" fillId="0" borderId="12" xfId="3" applyNumberFormat="1" applyBorder="1" applyAlignment="1">
      <alignment horizontal="center"/>
    </xf>
    <xf numFmtId="166" fontId="2" fillId="0" borderId="68" xfId="3" applyNumberFormat="1" applyBorder="1" applyAlignment="1">
      <alignment horizontal="center"/>
    </xf>
    <xf numFmtId="166" fontId="2" fillId="0" borderId="69" xfId="3" applyNumberFormat="1" applyBorder="1" applyAlignment="1">
      <alignment horizontal="center"/>
    </xf>
    <xf numFmtId="164" fontId="2" fillId="0" borderId="67" xfId="3" applyNumberFormat="1" applyBorder="1" applyAlignment="1">
      <alignment horizontal="center"/>
    </xf>
    <xf numFmtId="164" fontId="2" fillId="0" borderId="68" xfId="3" applyNumberFormat="1" applyBorder="1" applyAlignment="1">
      <alignment horizontal="center"/>
    </xf>
    <xf numFmtId="2" fontId="2" fillId="0" borderId="67" xfId="3" applyNumberFormat="1" applyBorder="1" applyAlignment="1">
      <alignment horizontal="center"/>
    </xf>
    <xf numFmtId="2" fontId="2" fillId="0" borderId="12" xfId="3" applyNumberFormat="1" applyBorder="1" applyAlignment="1">
      <alignment horizontal="center"/>
    </xf>
    <xf numFmtId="2" fontId="2" fillId="0" borderId="18" xfId="3" applyNumberFormat="1" applyBorder="1" applyAlignment="1">
      <alignment horizontal="center"/>
    </xf>
    <xf numFmtId="2" fontId="2" fillId="0" borderId="58" xfId="3" applyNumberFormat="1" applyBorder="1" applyAlignment="1">
      <alignment horizontal="center"/>
    </xf>
    <xf numFmtId="0" fontId="2" fillId="0" borderId="63" xfId="3" applyBorder="1" applyAlignment="1">
      <alignment horizontal="center"/>
    </xf>
    <xf numFmtId="166" fontId="2" fillId="0" borderId="11" xfId="3" applyNumberFormat="1" applyBorder="1" applyAlignment="1">
      <alignment horizontal="center"/>
    </xf>
    <xf numFmtId="166" fontId="2" fillId="0" borderId="58" xfId="3" applyNumberFormat="1" applyBorder="1" applyAlignment="1">
      <alignment horizontal="center"/>
    </xf>
    <xf numFmtId="0" fontId="2" fillId="0" borderId="0" xfId="3" applyAlignment="1">
      <alignment horizontal="center"/>
    </xf>
    <xf numFmtId="166" fontId="2" fillId="0" borderId="0" xfId="3" applyNumberFormat="1" applyAlignment="1">
      <alignment horizontal="center"/>
    </xf>
    <xf numFmtId="164" fontId="2" fillId="0" borderId="0" xfId="3" applyNumberFormat="1" applyAlignment="1">
      <alignment horizontal="center"/>
    </xf>
    <xf numFmtId="2" fontId="2" fillId="0" borderId="0" xfId="3" applyNumberFormat="1" applyAlignment="1">
      <alignment horizontal="center"/>
    </xf>
    <xf numFmtId="0" fontId="2" fillId="0" borderId="0" xfId="3" applyAlignment="1">
      <alignment horizontal="right"/>
    </xf>
    <xf numFmtId="166" fontId="2" fillId="0" borderId="18" xfId="3" applyNumberFormat="1" applyBorder="1" applyAlignment="1">
      <alignment horizontal="center"/>
    </xf>
    <xf numFmtId="166" fontId="2" fillId="0" borderId="8" xfId="3" applyNumberFormat="1" applyBorder="1" applyAlignment="1">
      <alignment horizontal="center"/>
    </xf>
    <xf numFmtId="2" fontId="2" fillId="0" borderId="5" xfId="3" applyNumberFormat="1" applyBorder="1" applyAlignment="1">
      <alignment horizontal="center"/>
    </xf>
    <xf numFmtId="2" fontId="2" fillId="0" borderId="7" xfId="3" applyNumberFormat="1" applyBorder="1" applyAlignment="1">
      <alignment horizontal="center"/>
    </xf>
    <xf numFmtId="2" fontId="2" fillId="0" borderId="0" xfId="3" applyNumberFormat="1"/>
    <xf numFmtId="167" fontId="0" fillId="0" borderId="0" xfId="0" applyNumberFormat="1"/>
    <xf numFmtId="1" fontId="7" fillId="12" borderId="0" xfId="0" applyNumberFormat="1" applyFont="1" applyFill="1"/>
    <xf numFmtId="0" fontId="58" fillId="0" borderId="0" xfId="0" applyFont="1"/>
    <xf numFmtId="0" fontId="2" fillId="4" borderId="70" xfId="3" applyFill="1" applyBorder="1" applyAlignment="1">
      <alignment vertical="center"/>
    </xf>
    <xf numFmtId="0" fontId="2" fillId="0" borderId="71" xfId="3" applyBorder="1" applyAlignment="1">
      <alignment horizontal="center"/>
    </xf>
    <xf numFmtId="2" fontId="2" fillId="0" borderId="11" xfId="3" applyNumberFormat="1" applyBorder="1"/>
    <xf numFmtId="2" fontId="2" fillId="0" borderId="58" xfId="3" applyNumberFormat="1" applyBorder="1"/>
    <xf numFmtId="2" fontId="7" fillId="0" borderId="7" xfId="3" applyNumberFormat="1" applyFont="1" applyBorder="1" applyAlignment="1">
      <alignment horizontal="center"/>
    </xf>
    <xf numFmtId="1" fontId="2" fillId="9" borderId="2" xfId="0" applyNumberFormat="1" applyFont="1" applyFill="1" applyBorder="1" applyAlignment="1">
      <alignment vertical="center"/>
    </xf>
    <xf numFmtId="0" fontId="3" fillId="9" borderId="44" xfId="0" applyFont="1" applyFill="1" applyBorder="1" applyAlignment="1">
      <alignment horizontal="center"/>
    </xf>
    <xf numFmtId="11" fontId="2" fillId="0" borderId="0" xfId="0" applyNumberFormat="1" applyFont="1"/>
    <xf numFmtId="1" fontId="2" fillId="0" borderId="0" xfId="0" applyNumberFormat="1" applyFont="1"/>
    <xf numFmtId="1" fontId="2" fillId="12" borderId="0" xfId="0" applyNumberFormat="1" applyFont="1" applyFill="1"/>
    <xf numFmtId="0" fontId="2" fillId="0" borderId="75" xfId="0" applyFont="1" applyBorder="1"/>
    <xf numFmtId="167" fontId="2" fillId="0" borderId="77" xfId="0" applyNumberFormat="1" applyFont="1" applyBorder="1"/>
    <xf numFmtId="11" fontId="7" fillId="0" borderId="77" xfId="0" applyNumberFormat="1" applyFont="1" applyBorder="1"/>
    <xf numFmtId="0" fontId="68" fillId="0" borderId="77" xfId="0" applyFont="1" applyBorder="1"/>
    <xf numFmtId="1" fontId="58" fillId="0" borderId="0" xfId="0" applyNumberFormat="1" applyFont="1"/>
    <xf numFmtId="0" fontId="75" fillId="0" borderId="0" xfId="0" applyFont="1"/>
    <xf numFmtId="167" fontId="58" fillId="0" borderId="0" xfId="0" applyNumberFormat="1" applyFont="1"/>
    <xf numFmtId="0" fontId="3" fillId="0" borderId="30" xfId="0" applyFont="1" applyBorder="1"/>
    <xf numFmtId="165" fontId="3" fillId="0" borderId="0" xfId="0" applyNumberFormat="1" applyFont="1"/>
    <xf numFmtId="11" fontId="3" fillId="0" borderId="0" xfId="0" applyNumberFormat="1" applyFont="1"/>
    <xf numFmtId="0" fontId="0" fillId="0" borderId="45" xfId="0" applyBorder="1"/>
    <xf numFmtId="1" fontId="2" fillId="22" borderId="0" xfId="0" applyNumberFormat="1" applyFont="1" applyFill="1"/>
    <xf numFmtId="1" fontId="61" fillId="0" borderId="0" xfId="0" applyNumberFormat="1" applyFont="1"/>
    <xf numFmtId="0" fontId="61" fillId="0" borderId="0" xfId="0" applyFont="1"/>
    <xf numFmtId="0" fontId="68" fillId="0" borderId="58" xfId="3" applyFont="1" applyBorder="1"/>
    <xf numFmtId="167" fontId="0" fillId="12" borderId="0" xfId="0" applyNumberFormat="1" applyFill="1"/>
    <xf numFmtId="166" fontId="7" fillId="12" borderId="0" xfId="0" applyNumberFormat="1" applyFont="1" applyFill="1"/>
    <xf numFmtId="11" fontId="0" fillId="22" borderId="0" xfId="0" applyNumberFormat="1" applyFill="1" applyAlignment="1">
      <alignment horizontal="right"/>
    </xf>
    <xf numFmtId="0" fontId="0" fillId="24" borderId="0" xfId="0" applyFill="1" applyAlignment="1">
      <alignment horizontal="right"/>
    </xf>
    <xf numFmtId="167" fontId="30" fillId="22" borderId="0" xfId="0" applyNumberFormat="1" applyFont="1" applyFill="1"/>
    <xf numFmtId="166" fontId="30" fillId="22" borderId="34" xfId="0" applyNumberFormat="1" applyFont="1" applyFill="1" applyBorder="1"/>
    <xf numFmtId="167" fontId="2" fillId="0" borderId="0" xfId="0" applyNumberFormat="1" applyFont="1"/>
    <xf numFmtId="0" fontId="2" fillId="0" borderId="24" xfId="3" applyBorder="1" applyAlignment="1">
      <alignment horizontal="left"/>
    </xf>
    <xf numFmtId="0" fontId="2" fillId="0" borderId="45" xfId="3" applyBorder="1"/>
    <xf numFmtId="0" fontId="2" fillId="0" borderId="46" xfId="3" applyBorder="1"/>
    <xf numFmtId="167" fontId="2" fillId="0" borderId="45" xfId="3" applyNumberFormat="1" applyBorder="1"/>
    <xf numFmtId="0" fontId="2" fillId="8" borderId="15" xfId="3" applyFill="1" applyBorder="1"/>
    <xf numFmtId="0" fontId="3" fillId="0" borderId="55" xfId="3" applyFont="1" applyBorder="1" applyAlignment="1">
      <alignment horizontal="center"/>
    </xf>
    <xf numFmtId="11" fontId="2" fillId="0" borderId="11" xfId="3" applyNumberFormat="1" applyBorder="1"/>
    <xf numFmtId="1" fontId="2" fillId="0" borderId="45" xfId="3" applyNumberFormat="1" applyBorder="1"/>
    <xf numFmtId="167" fontId="2" fillId="0" borderId="11" xfId="3" applyNumberFormat="1" applyBorder="1"/>
    <xf numFmtId="0" fontId="2" fillId="0" borderId="0" xfId="3" applyAlignment="1">
      <alignment horizontal="left"/>
    </xf>
    <xf numFmtId="1" fontId="2" fillId="0" borderId="0" xfId="3" applyNumberFormat="1"/>
    <xf numFmtId="167" fontId="2" fillId="0" borderId="0" xfId="3" applyNumberFormat="1"/>
    <xf numFmtId="0" fontId="0" fillId="23" borderId="0" xfId="0" applyFill="1"/>
    <xf numFmtId="178" fontId="8" fillId="12" borderId="0" xfId="0" applyNumberFormat="1" applyFont="1" applyFill="1"/>
    <xf numFmtId="2" fontId="2" fillId="0" borderId="0" xfId="0" applyNumberFormat="1" applyFont="1"/>
    <xf numFmtId="167" fontId="3" fillId="0" borderId="0" xfId="0" applyNumberFormat="1" applyFont="1" applyAlignment="1">
      <alignment horizontal="right"/>
    </xf>
    <xf numFmtId="1" fontId="2" fillId="24" borderId="0" xfId="0" applyNumberFormat="1" applyFont="1" applyFill="1"/>
    <xf numFmtId="0" fontId="2" fillId="24" borderId="0" xfId="0" applyFont="1" applyFill="1"/>
    <xf numFmtId="166" fontId="2" fillId="22" borderId="31" xfId="0" applyNumberFormat="1" applyFont="1" applyFill="1" applyBorder="1"/>
    <xf numFmtId="0" fontId="2" fillId="0" borderId="8" xfId="3" applyBorder="1"/>
    <xf numFmtId="168" fontId="2" fillId="0" borderId="8" xfId="3" applyNumberFormat="1" applyBorder="1"/>
    <xf numFmtId="0" fontId="3" fillId="0" borderId="57" xfId="3" applyFont="1" applyBorder="1" applyAlignment="1">
      <alignment horizontal="center"/>
    </xf>
    <xf numFmtId="0" fontId="2" fillId="8" borderId="64" xfId="3" applyFill="1" applyBorder="1"/>
    <xf numFmtId="167" fontId="2" fillId="0" borderId="44" xfId="3" applyNumberFormat="1" applyBorder="1"/>
    <xf numFmtId="164" fontId="2" fillId="0" borderId="58" xfId="3" applyNumberFormat="1" applyBorder="1" applyAlignment="1">
      <alignment horizontal="center"/>
    </xf>
    <xf numFmtId="167" fontId="61" fillId="0" borderId="0" xfId="0" applyNumberFormat="1" applyFont="1"/>
    <xf numFmtId="179" fontId="3" fillId="12" borderId="0" xfId="0" applyNumberFormat="1" applyFont="1" applyFill="1"/>
    <xf numFmtId="179" fontId="2" fillId="4" borderId="0" xfId="0" applyNumberFormat="1" applyFont="1" applyFill="1"/>
    <xf numFmtId="179" fontId="30" fillId="4" borderId="0" xfId="0" applyNumberFormat="1" applyFont="1" applyFill="1"/>
    <xf numFmtId="179" fontId="0" fillId="12" borderId="0" xfId="0" applyNumberFormat="1" applyFill="1"/>
    <xf numFmtId="179" fontId="0" fillId="4" borderId="31" xfId="0" applyNumberFormat="1" applyFill="1" applyBorder="1"/>
    <xf numFmtId="0" fontId="2" fillId="0" borderId="8" xfId="3" applyBorder="1" applyAlignment="1">
      <alignment horizontal="left"/>
    </xf>
    <xf numFmtId="2" fontId="2" fillId="0" borderId="59" xfId="3" applyNumberFormat="1" applyBorder="1" applyAlignment="1">
      <alignment horizontal="center"/>
    </xf>
    <xf numFmtId="1" fontId="2" fillId="0" borderId="0" xfId="3" applyNumberFormat="1" applyAlignment="1">
      <alignment horizontal="right"/>
    </xf>
    <xf numFmtId="167" fontId="2" fillId="8" borderId="11" xfId="3" applyNumberFormat="1" applyFill="1" applyBorder="1"/>
    <xf numFmtId="0" fontId="2" fillId="9" borderId="76" xfId="0" applyFont="1" applyFill="1" applyBorder="1" applyAlignment="1">
      <alignment horizontal="left"/>
    </xf>
    <xf numFmtId="168" fontId="2" fillId="9" borderId="28" xfId="0" applyNumberFormat="1" applyFont="1" applyFill="1" applyBorder="1" applyAlignment="1">
      <alignment horizontal="right"/>
    </xf>
    <xf numFmtId="0" fontId="2" fillId="9" borderId="29" xfId="0" applyFont="1" applyFill="1" applyBorder="1" applyAlignment="1">
      <alignment horizontal="left"/>
    </xf>
    <xf numFmtId="0" fontId="2" fillId="9" borderId="46" xfId="0" applyFont="1" applyFill="1" applyBorder="1" applyAlignment="1">
      <alignment horizontal="left"/>
    </xf>
    <xf numFmtId="168" fontId="2" fillId="22" borderId="0" xfId="0" applyNumberFormat="1" applyFont="1" applyFill="1"/>
    <xf numFmtId="1" fontId="2" fillId="9" borderId="44" xfId="0" applyNumberFormat="1" applyFont="1" applyFill="1" applyBorder="1" applyAlignment="1">
      <alignment horizontal="right"/>
    </xf>
    <xf numFmtId="0" fontId="2" fillId="16" borderId="0" xfId="3" applyFill="1" applyAlignment="1">
      <alignment vertical="center"/>
    </xf>
    <xf numFmtId="49" fontId="2" fillId="16" borderId="0" xfId="3" applyNumberFormat="1" applyFill="1" applyAlignment="1">
      <alignment vertical="center"/>
    </xf>
    <xf numFmtId="180" fontId="2" fillId="21" borderId="11" xfId="3" applyNumberFormat="1" applyFill="1" applyBorder="1" applyAlignment="1">
      <alignment horizontal="center" vertical="center"/>
    </xf>
    <xf numFmtId="0" fontId="2" fillId="0" borderId="11" xfId="0" applyFont="1" applyBorder="1"/>
    <xf numFmtId="0" fontId="2" fillId="0" borderId="15" xfId="0" applyFont="1" applyBorder="1"/>
    <xf numFmtId="0" fontId="2" fillId="0" borderId="16" xfId="0" applyFont="1" applyBorder="1"/>
    <xf numFmtId="0" fontId="2" fillId="0" borderId="17" xfId="0" applyFont="1" applyBorder="1"/>
    <xf numFmtId="0" fontId="68" fillId="0" borderId="11" xfId="0" applyFont="1" applyBorder="1"/>
    <xf numFmtId="0" fontId="2" fillId="0" borderId="13" xfId="0" applyFont="1" applyBorder="1"/>
    <xf numFmtId="0" fontId="2" fillId="4" borderId="11" xfId="0" applyFont="1" applyFill="1" applyBorder="1"/>
    <xf numFmtId="2" fontId="0" fillId="2" borderId="0" xfId="0" applyNumberFormat="1" applyFill="1"/>
    <xf numFmtId="0" fontId="2" fillId="6" borderId="11" xfId="0" applyFont="1" applyFill="1" applyBorder="1"/>
    <xf numFmtId="166" fontId="15" fillId="7" borderId="0" xfId="0" applyNumberFormat="1" applyFont="1" applyFill="1"/>
    <xf numFmtId="2" fontId="15" fillId="7" borderId="0" xfId="0" applyNumberFormat="1" applyFont="1" applyFill="1"/>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7" borderId="7" xfId="0" applyFont="1" applyFill="1" applyBorder="1" applyAlignment="1">
      <alignment horizontal="center" vertical="center" wrapText="1"/>
    </xf>
    <xf numFmtId="169" fontId="3" fillId="2" borderId="6" xfId="0" applyNumberFormat="1"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7" borderId="22"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14" borderId="5" xfId="0" applyFont="1" applyFill="1" applyBorder="1" applyAlignment="1">
      <alignment horizontal="center" vertical="center" wrapText="1"/>
    </xf>
    <xf numFmtId="2" fontId="3" fillId="14" borderId="6" xfId="0" applyNumberFormat="1" applyFont="1" applyFill="1" applyBorder="1" applyAlignment="1">
      <alignment horizontal="center" vertical="center" wrapText="1"/>
    </xf>
    <xf numFmtId="167" fontId="3" fillId="2" borderId="6" xfId="0" applyNumberFormat="1" applyFont="1" applyFill="1" applyBorder="1" applyAlignment="1">
      <alignment horizontal="center" vertical="center" wrapText="1"/>
    </xf>
    <xf numFmtId="166" fontId="3" fillId="2" borderId="5" xfId="0" applyNumberFormat="1" applyFont="1" applyFill="1" applyBorder="1" applyAlignment="1">
      <alignment horizontal="center" vertical="center" wrapText="1"/>
    </xf>
    <xf numFmtId="166" fontId="3" fillId="2" borderId="6" xfId="0" applyNumberFormat="1" applyFont="1" applyFill="1" applyBorder="1" applyAlignment="1">
      <alignment horizontal="center" vertical="center" wrapText="1"/>
    </xf>
    <xf numFmtId="0" fontId="3" fillId="4" borderId="3" xfId="0" applyFont="1" applyFill="1" applyBorder="1" applyAlignment="1">
      <alignment horizontal="center"/>
    </xf>
    <xf numFmtId="0" fontId="3" fillId="4" borderId="2" xfId="0" applyFont="1" applyFill="1" applyBorder="1" applyAlignment="1">
      <alignment horizontal="center"/>
    </xf>
    <xf numFmtId="166" fontId="3" fillId="4" borderId="2" xfId="0" applyNumberFormat="1" applyFont="1" applyFill="1" applyBorder="1" applyAlignment="1">
      <alignment horizontal="center"/>
    </xf>
    <xf numFmtId="166" fontId="3" fillId="7" borderId="23" xfId="0" applyNumberFormat="1" applyFont="1" applyFill="1" applyBorder="1" applyAlignment="1">
      <alignment horizontal="center" vertical="center" wrapText="1"/>
    </xf>
    <xf numFmtId="0" fontId="58" fillId="19" borderId="23" xfId="0" applyFont="1" applyFill="1" applyBorder="1" applyAlignment="1">
      <alignment horizontal="center" vertical="center" wrapText="1"/>
    </xf>
    <xf numFmtId="0" fontId="3" fillId="9" borderId="77" xfId="0" applyFont="1" applyFill="1" applyBorder="1"/>
    <xf numFmtId="0" fontId="2" fillId="9" borderId="77" xfId="0" applyFont="1" applyFill="1" applyBorder="1"/>
    <xf numFmtId="0" fontId="2" fillId="9" borderId="76" xfId="0" applyFont="1" applyFill="1" applyBorder="1"/>
    <xf numFmtId="0" fontId="74" fillId="9" borderId="28" xfId="0" applyFont="1" applyFill="1" applyBorder="1"/>
    <xf numFmtId="0" fontId="15" fillId="0" borderId="39" xfId="0" applyFont="1" applyBorder="1"/>
    <xf numFmtId="2" fontId="15" fillId="4" borderId="0" xfId="0" applyNumberFormat="1" applyFont="1" applyFill="1" applyAlignment="1">
      <alignment horizontal="right"/>
    </xf>
    <xf numFmtId="2" fontId="30" fillId="22" borderId="0" xfId="0" applyNumberFormat="1" applyFont="1" applyFill="1" applyAlignment="1">
      <alignment horizontal="right"/>
    </xf>
    <xf numFmtId="166" fontId="3" fillId="12" borderId="0" xfId="0" applyNumberFormat="1" applyFont="1" applyFill="1"/>
    <xf numFmtId="167" fontId="8" fillId="0" borderId="0" xfId="0" applyNumberFormat="1" applyFont="1"/>
    <xf numFmtId="167" fontId="0" fillId="13" borderId="0" xfId="0" applyNumberFormat="1" applyFill="1"/>
    <xf numFmtId="0" fontId="17" fillId="16" borderId="28" xfId="0" applyFont="1" applyFill="1" applyBorder="1"/>
    <xf numFmtId="0" fontId="2" fillId="9" borderId="0" xfId="0" applyFont="1" applyFill="1" applyAlignment="1">
      <alignment horizontal="right" vertical="top"/>
    </xf>
    <xf numFmtId="168" fontId="2" fillId="9" borderId="0" xfId="0" applyNumberFormat="1" applyFont="1" applyFill="1" applyAlignment="1">
      <alignment horizontal="left" vertical="center"/>
    </xf>
    <xf numFmtId="0" fontId="63" fillId="9" borderId="77" xfId="0" applyFont="1" applyFill="1" applyBorder="1" applyAlignment="1">
      <alignment horizontal="left"/>
    </xf>
    <xf numFmtId="0" fontId="3" fillId="4" borderId="0" xfId="0" applyFont="1" applyFill="1"/>
    <xf numFmtId="0" fontId="69" fillId="3" borderId="49" xfId="3" applyFont="1" applyFill="1" applyBorder="1" applyAlignment="1">
      <alignment horizontal="center" vertical="center"/>
    </xf>
    <xf numFmtId="0" fontId="69" fillId="3" borderId="50" xfId="3" applyFont="1" applyFill="1" applyBorder="1" applyAlignment="1">
      <alignment horizontal="center" vertical="center"/>
    </xf>
    <xf numFmtId="0" fontId="69" fillId="3" borderId="50" xfId="3" applyFont="1" applyFill="1" applyBorder="1" applyAlignment="1">
      <alignment horizontal="left" vertical="center"/>
    </xf>
    <xf numFmtId="168" fontId="0" fillId="0" borderId="0" xfId="0" applyNumberFormat="1" applyAlignment="1">
      <alignment horizontal="left"/>
    </xf>
    <xf numFmtId="0" fontId="63" fillId="0" borderId="0" xfId="0" applyFont="1"/>
    <xf numFmtId="167" fontId="3" fillId="9" borderId="0" xfId="0" applyNumberFormat="1" applyFont="1" applyFill="1" applyAlignment="1">
      <alignment horizontal="center"/>
    </xf>
    <xf numFmtId="0" fontId="3" fillId="5" borderId="69" xfId="0" applyFont="1" applyFill="1" applyBorder="1"/>
    <xf numFmtId="0" fontId="20" fillId="25" borderId="43" xfId="0" applyFont="1" applyFill="1" applyBorder="1"/>
    <xf numFmtId="0" fontId="20" fillId="25" borderId="41" xfId="0" applyFont="1" applyFill="1" applyBorder="1"/>
    <xf numFmtId="0" fontId="17" fillId="25" borderId="41" xfId="0" applyFont="1" applyFill="1" applyBorder="1"/>
    <xf numFmtId="171" fontId="17" fillId="25" borderId="0" xfId="0" applyNumberFormat="1" applyFont="1" applyFill="1" applyAlignment="1">
      <alignment horizontal="center"/>
    </xf>
    <xf numFmtId="0" fontId="17" fillId="25" borderId="0" xfId="0" applyFont="1" applyFill="1"/>
    <xf numFmtId="171" fontId="65" fillId="25" borderId="0" xfId="0" applyNumberFormat="1" applyFont="1" applyFill="1" applyAlignment="1">
      <alignment horizontal="center"/>
    </xf>
    <xf numFmtId="171" fontId="25" fillId="25" borderId="0" xfId="0" applyNumberFormat="1" applyFont="1" applyFill="1" applyAlignment="1">
      <alignment horizontal="center"/>
    </xf>
    <xf numFmtId="0" fontId="26" fillId="25" borderId="28" xfId="0" applyFont="1" applyFill="1" applyBorder="1" applyAlignment="1">
      <alignment horizontal="left"/>
    </xf>
    <xf numFmtId="0" fontId="26" fillId="25" borderId="0" xfId="0" applyFont="1" applyFill="1" applyAlignment="1">
      <alignment horizontal="left"/>
    </xf>
    <xf numFmtId="0" fontId="24" fillId="25" borderId="28" xfId="0" applyFont="1" applyFill="1" applyBorder="1" applyAlignment="1">
      <alignment horizontal="left" vertical="center"/>
    </xf>
    <xf numFmtId="0" fontId="24" fillId="25" borderId="0" xfId="0" applyFont="1" applyFill="1" applyAlignment="1">
      <alignment horizontal="left" vertical="center"/>
    </xf>
    <xf numFmtId="0" fontId="67" fillId="25" borderId="0" xfId="0" applyFont="1" applyFill="1" applyAlignment="1">
      <alignment horizontal="left" vertical="center"/>
    </xf>
    <xf numFmtId="0" fontId="31" fillId="25" borderId="30" xfId="0" applyFont="1" applyFill="1" applyBorder="1"/>
    <xf numFmtId="0" fontId="31" fillId="25" borderId="31" xfId="0" applyFont="1" applyFill="1" applyBorder="1"/>
    <xf numFmtId="0" fontId="20" fillId="25" borderId="31" xfId="0" applyFont="1" applyFill="1" applyBorder="1"/>
    <xf numFmtId="0" fontId="24" fillId="25" borderId="0" xfId="0" quotePrefix="1" applyFont="1" applyFill="1" applyAlignment="1">
      <alignment vertical="center"/>
    </xf>
    <xf numFmtId="0" fontId="20" fillId="25" borderId="0" xfId="0" applyFont="1" applyFill="1" applyAlignment="1">
      <alignment vertical="center"/>
    </xf>
    <xf numFmtId="0" fontId="29" fillId="25" borderId="0" xfId="0" applyFont="1" applyFill="1" applyAlignment="1">
      <alignment vertical="center"/>
    </xf>
    <xf numFmtId="0" fontId="29" fillId="25" borderId="0" xfId="0" applyFont="1" applyFill="1"/>
    <xf numFmtId="0" fontId="27" fillId="25" borderId="31" xfId="0" applyFont="1" applyFill="1" applyBorder="1"/>
    <xf numFmtId="0" fontId="27" fillId="25" borderId="45" xfId="0" applyFont="1" applyFill="1" applyBorder="1"/>
    <xf numFmtId="0" fontId="78" fillId="25" borderId="0" xfId="2" applyFont="1" applyFill="1" applyBorder="1" applyAlignment="1" applyProtection="1">
      <alignment horizontal="left" vertical="center"/>
    </xf>
    <xf numFmtId="0" fontId="78" fillId="25" borderId="0" xfId="2" applyFont="1" applyFill="1" applyAlignment="1" applyProtection="1"/>
    <xf numFmtId="167" fontId="3" fillId="24" borderId="0" xfId="0" applyNumberFormat="1" applyFont="1" applyFill="1" applyAlignment="1">
      <alignment horizontal="right"/>
    </xf>
    <xf numFmtId="167" fontId="0" fillId="22" borderId="0" xfId="0" applyNumberFormat="1" applyFill="1"/>
    <xf numFmtId="2" fontId="8" fillId="12" borderId="0" xfId="0" applyNumberFormat="1" applyFont="1" applyFill="1"/>
    <xf numFmtId="168" fontId="15" fillId="4" borderId="0" xfId="0" applyNumberFormat="1" applyFont="1" applyFill="1" applyAlignment="1">
      <alignment horizontal="right"/>
    </xf>
    <xf numFmtId="179" fontId="3" fillId="0" borderId="0" xfId="0" applyNumberFormat="1" applyFont="1"/>
    <xf numFmtId="2" fontId="30" fillId="0" borderId="0" xfId="0" applyNumberFormat="1" applyFont="1"/>
    <xf numFmtId="0" fontId="70" fillId="0" borderId="0" xfId="0" applyFont="1"/>
    <xf numFmtId="168" fontId="2" fillId="9" borderId="0" xfId="0" applyNumberFormat="1" applyFont="1" applyFill="1" applyAlignment="1">
      <alignment horizontal="right"/>
    </xf>
    <xf numFmtId="168" fontId="2" fillId="9" borderId="0" xfId="0" applyNumberFormat="1" applyFont="1" applyFill="1" applyAlignment="1">
      <alignment horizontal="right" vertical="center"/>
    </xf>
    <xf numFmtId="11" fontId="60" fillId="22" borderId="0" xfId="0" applyNumberFormat="1" applyFont="1" applyFill="1"/>
    <xf numFmtId="0" fontId="60" fillId="9" borderId="0" xfId="0" applyFont="1" applyFill="1" applyAlignment="1">
      <alignment horizontal="right"/>
    </xf>
    <xf numFmtId="2" fontId="2" fillId="16" borderId="0" xfId="0" applyNumberFormat="1" applyFont="1" applyFill="1"/>
    <xf numFmtId="11" fontId="30" fillId="22" borderId="0" xfId="0" applyNumberFormat="1" applyFont="1" applyFill="1" applyAlignment="1">
      <alignment horizontal="right"/>
    </xf>
    <xf numFmtId="11" fontId="0" fillId="22" borderId="0" xfId="0" applyNumberFormat="1" applyFill="1"/>
    <xf numFmtId="167" fontId="30" fillId="0" borderId="0" xfId="0" applyNumberFormat="1" applyFont="1"/>
    <xf numFmtId="0" fontId="70" fillId="0" borderId="0" xfId="0" applyFont="1" applyAlignment="1">
      <alignment horizontal="left"/>
    </xf>
    <xf numFmtId="0" fontId="58" fillId="0" borderId="0" xfId="0" applyFont="1" applyAlignment="1">
      <alignment horizontal="right"/>
    </xf>
    <xf numFmtId="0" fontId="58" fillId="0" borderId="0" xfId="0" applyFont="1" applyAlignment="1">
      <alignment horizontal="left"/>
    </xf>
    <xf numFmtId="0" fontId="0" fillId="16" borderId="0" xfId="0" applyFill="1"/>
    <xf numFmtId="0" fontId="3" fillId="2" borderId="23" xfId="0" applyFont="1" applyFill="1" applyBorder="1" applyAlignment="1">
      <alignment horizontal="center" vertical="center" wrapText="1"/>
    </xf>
    <xf numFmtId="2" fontId="3" fillId="2" borderId="5" xfId="0" applyNumberFormat="1" applyFont="1" applyFill="1" applyBorder="1" applyAlignment="1">
      <alignment horizontal="center" vertical="center" wrapText="1"/>
    </xf>
    <xf numFmtId="2" fontId="3" fillId="2" borderId="7" xfId="0" applyNumberFormat="1" applyFont="1" applyFill="1" applyBorder="1" applyAlignment="1">
      <alignment horizontal="center" vertical="center" wrapText="1"/>
    </xf>
    <xf numFmtId="167" fontId="0" fillId="0" borderId="0" xfId="0" applyNumberFormat="1" applyAlignment="1">
      <alignment horizontal="right"/>
    </xf>
    <xf numFmtId="178" fontId="0" fillId="0" borderId="0" xfId="0" applyNumberFormat="1"/>
    <xf numFmtId="0" fontId="3" fillId="0" borderId="28" xfId="0" applyFont="1" applyBorder="1" applyAlignment="1">
      <alignment horizontal="center"/>
    </xf>
    <xf numFmtId="167" fontId="77" fillId="26" borderId="0" xfId="0" applyNumberFormat="1" applyFont="1" applyFill="1" applyAlignment="1">
      <alignment horizontal="center" vertical="center"/>
    </xf>
    <xf numFmtId="166" fontId="3" fillId="26" borderId="0" xfId="0" applyNumberFormat="1" applyFont="1" applyFill="1" applyAlignment="1">
      <alignment horizontal="center" vertical="center" wrapText="1"/>
    </xf>
    <xf numFmtId="0" fontId="0" fillId="0" borderId="0" xfId="0" applyAlignment="1">
      <alignment horizontal="center"/>
    </xf>
    <xf numFmtId="2" fontId="0" fillId="0" borderId="0" xfId="0" applyNumberFormat="1" applyAlignment="1">
      <alignment horizontal="center"/>
    </xf>
    <xf numFmtId="1" fontId="3" fillId="16" borderId="0" xfId="0" applyNumberFormat="1" applyFont="1" applyFill="1" applyAlignment="1" applyProtection="1">
      <alignment horizontal="right" vertical="center"/>
      <protection hidden="1"/>
    </xf>
    <xf numFmtId="0" fontId="58" fillId="2" borderId="6" xfId="0" applyFont="1" applyFill="1" applyBorder="1" applyAlignment="1">
      <alignment horizontal="center" vertical="center" wrapText="1"/>
    </xf>
    <xf numFmtId="168" fontId="75" fillId="0" borderId="0" xfId="0" applyNumberFormat="1" applyFont="1"/>
    <xf numFmtId="10" fontId="75" fillId="0" borderId="0" xfId="0" applyNumberFormat="1" applyFont="1" applyAlignment="1">
      <alignment horizontal="center"/>
    </xf>
    <xf numFmtId="168" fontId="2" fillId="16" borderId="0" xfId="0" applyNumberFormat="1" applyFont="1" applyFill="1"/>
    <xf numFmtId="0" fontId="3" fillId="9" borderId="45" xfId="0" applyFont="1" applyFill="1" applyBorder="1" applyAlignment="1">
      <alignment horizontal="left" vertical="center"/>
    </xf>
    <xf numFmtId="0" fontId="60" fillId="0" borderId="28" xfId="0" applyFont="1" applyBorder="1"/>
    <xf numFmtId="1" fontId="63" fillId="0" borderId="0" xfId="0" applyNumberFormat="1" applyFont="1"/>
    <xf numFmtId="167" fontId="7" fillId="0" borderId="0" xfId="0" applyNumberFormat="1" applyFont="1"/>
    <xf numFmtId="2" fontId="60" fillId="9" borderId="2" xfId="1" applyNumberFormat="1" applyFont="1" applyFill="1" applyBorder="1" applyAlignment="1" applyProtection="1">
      <alignment horizontal="right"/>
    </xf>
    <xf numFmtId="0" fontId="17" fillId="16" borderId="41" xfId="0" applyFont="1" applyFill="1" applyBorder="1"/>
    <xf numFmtId="0" fontId="17" fillId="16" borderId="45" xfId="0" applyFont="1" applyFill="1" applyBorder="1"/>
    <xf numFmtId="0" fontId="60" fillId="16" borderId="45" xfId="0" applyFont="1" applyFill="1" applyBorder="1" applyAlignment="1">
      <alignment horizontal="center"/>
    </xf>
    <xf numFmtId="168" fontId="2" fillId="9" borderId="45" xfId="0" applyNumberFormat="1" applyFont="1" applyFill="1" applyBorder="1" applyAlignment="1">
      <alignment vertical="center"/>
    </xf>
    <xf numFmtId="0" fontId="0" fillId="0" borderId="46" xfId="0" applyBorder="1"/>
    <xf numFmtId="2" fontId="8" fillId="0" borderId="0" xfId="0" applyNumberFormat="1" applyFont="1"/>
    <xf numFmtId="167" fontId="3" fillId="0" borderId="2" xfId="0" applyNumberFormat="1" applyFont="1" applyBorder="1"/>
    <xf numFmtId="2" fontId="2" fillId="22" borderId="0" xfId="0" applyNumberFormat="1" applyFont="1" applyFill="1"/>
    <xf numFmtId="167" fontId="2" fillId="22" borderId="0" xfId="0" applyNumberFormat="1" applyFont="1" applyFill="1"/>
    <xf numFmtId="178" fontId="8" fillId="0" borderId="0" xfId="0" applyNumberFormat="1" applyFont="1"/>
    <xf numFmtId="0" fontId="2" fillId="16" borderId="45" xfId="0" applyFont="1" applyFill="1" applyBorder="1" applyAlignment="1">
      <alignment horizontal="right" vertical="center"/>
    </xf>
    <xf numFmtId="167" fontId="0" fillId="12" borderId="2" xfId="0" applyNumberFormat="1" applyFill="1" applyBorder="1"/>
    <xf numFmtId="2" fontId="2" fillId="9" borderId="31" xfId="0" applyNumberFormat="1" applyFont="1" applyFill="1" applyBorder="1"/>
    <xf numFmtId="167" fontId="0" fillId="4" borderId="2" xfId="0" applyNumberFormat="1" applyFill="1" applyBorder="1"/>
    <xf numFmtId="179" fontId="0" fillId="4" borderId="0" xfId="0" applyNumberFormat="1" applyFill="1"/>
    <xf numFmtId="0" fontId="2" fillId="23" borderId="0" xfId="0" applyFont="1" applyFill="1"/>
    <xf numFmtId="0" fontId="80" fillId="9" borderId="45" xfId="0" applyFont="1" applyFill="1" applyBorder="1" applyAlignment="1">
      <alignment horizontal="right" vertical="center"/>
    </xf>
    <xf numFmtId="0" fontId="84" fillId="0" borderId="0" xfId="0" applyFont="1" applyAlignment="1">
      <alignment horizontal="left"/>
    </xf>
    <xf numFmtId="1" fontId="2" fillId="9" borderId="0" xfId="0" applyNumberFormat="1" applyFont="1" applyFill="1" applyAlignment="1">
      <alignment horizontal="right"/>
    </xf>
    <xf numFmtId="0" fontId="84" fillId="0" borderId="0" xfId="0" applyFont="1" applyAlignment="1">
      <alignment horizontal="right"/>
    </xf>
    <xf numFmtId="0" fontId="61" fillId="0" borderId="0" xfId="0" applyFont="1" applyAlignment="1">
      <alignment horizontal="left"/>
    </xf>
    <xf numFmtId="2" fontId="2" fillId="0" borderId="68" xfId="3" applyNumberFormat="1" applyBorder="1" applyAlignment="1">
      <alignment horizontal="center"/>
    </xf>
    <xf numFmtId="0" fontId="6" fillId="9" borderId="77" xfId="0" applyFont="1" applyFill="1" applyBorder="1" applyAlignment="1">
      <alignment horizontal="right" vertical="center"/>
    </xf>
    <xf numFmtId="0" fontId="6" fillId="9" borderId="41" xfId="0" applyFont="1" applyFill="1" applyBorder="1" applyAlignment="1">
      <alignment horizontal="right" vertical="center"/>
    </xf>
    <xf numFmtId="167" fontId="8" fillId="7" borderId="11" xfId="0" applyNumberFormat="1" applyFont="1" applyFill="1" applyBorder="1"/>
    <xf numFmtId="167" fontId="15" fillId="7" borderId="11" xfId="0" applyNumberFormat="1" applyFont="1" applyFill="1" applyBorder="1"/>
    <xf numFmtId="167" fontId="0" fillId="7" borderId="11" xfId="0" applyNumberFormat="1" applyFill="1" applyBorder="1"/>
    <xf numFmtId="0" fontId="16" fillId="3" borderId="4" xfId="0" applyFont="1" applyFill="1" applyBorder="1" applyAlignment="1">
      <alignment vertical="center"/>
    </xf>
    <xf numFmtId="0" fontId="17" fillId="16" borderId="29" xfId="0" applyFont="1" applyFill="1" applyBorder="1"/>
    <xf numFmtId="0" fontId="63" fillId="9" borderId="75" xfId="0" applyFont="1" applyFill="1" applyBorder="1" applyAlignment="1">
      <alignment horizontal="left"/>
    </xf>
    <xf numFmtId="0" fontId="2" fillId="9" borderId="80" xfId="0" applyFont="1" applyFill="1" applyBorder="1" applyAlignment="1">
      <alignment vertical="center"/>
    </xf>
    <xf numFmtId="0" fontId="3" fillId="16" borderId="46" xfId="0" applyFont="1" applyFill="1" applyBorder="1" applyAlignment="1">
      <alignment vertical="center"/>
    </xf>
    <xf numFmtId="0" fontId="3" fillId="16" borderId="45" xfId="0" applyFont="1" applyFill="1" applyBorder="1" applyAlignment="1">
      <alignment horizontal="right" vertical="center"/>
    </xf>
    <xf numFmtId="168" fontId="63" fillId="9" borderId="45" xfId="0" applyNumberFormat="1" applyFont="1" applyFill="1" applyBorder="1" applyAlignment="1">
      <alignment horizontal="left" vertical="center"/>
    </xf>
    <xf numFmtId="0" fontId="3" fillId="9" borderId="80" xfId="0" applyFont="1" applyFill="1" applyBorder="1"/>
    <xf numFmtId="0" fontId="63" fillId="9" borderId="0" xfId="0" applyFont="1" applyFill="1" applyAlignment="1">
      <alignment horizontal="right"/>
    </xf>
    <xf numFmtId="0" fontId="63" fillId="9" borderId="0" xfId="0" applyFont="1" applyFill="1" applyAlignment="1">
      <alignment horizontal="left"/>
    </xf>
    <xf numFmtId="0" fontId="63" fillId="9" borderId="42" xfId="0" applyFont="1" applyFill="1" applyBorder="1" applyAlignment="1">
      <alignment horizontal="left"/>
    </xf>
    <xf numFmtId="0" fontId="3" fillId="16" borderId="0" xfId="0" applyFont="1" applyFill="1" applyAlignment="1">
      <alignment horizontal="right"/>
    </xf>
    <xf numFmtId="0" fontId="3" fillId="16" borderId="0" xfId="0" applyFont="1" applyFill="1"/>
    <xf numFmtId="0" fontId="2" fillId="16" borderId="80" xfId="0" applyFont="1" applyFill="1" applyBorder="1"/>
    <xf numFmtId="0" fontId="2" fillId="9" borderId="80" xfId="0" applyFont="1" applyFill="1" applyBorder="1"/>
    <xf numFmtId="168" fontId="15" fillId="0" borderId="0" xfId="0" applyNumberFormat="1" applyFont="1"/>
    <xf numFmtId="0" fontId="2" fillId="0" borderId="80" xfId="0" applyFont="1" applyBorder="1"/>
    <xf numFmtId="0" fontId="3" fillId="9" borderId="0" xfId="0" applyFont="1" applyFill="1" applyAlignment="1">
      <alignment horizontal="left" vertical="center"/>
    </xf>
    <xf numFmtId="0" fontId="3" fillId="19" borderId="45" xfId="0" applyFont="1" applyFill="1" applyBorder="1" applyAlignment="1" applyProtection="1">
      <alignment horizontal="right" vertical="center"/>
      <protection locked="0"/>
    </xf>
    <xf numFmtId="0" fontId="17" fillId="16" borderId="80" xfId="0" applyFont="1" applyFill="1" applyBorder="1"/>
    <xf numFmtId="0" fontId="3" fillId="16" borderId="0" xfId="0" applyFont="1" applyFill="1" applyAlignment="1">
      <alignment horizontal="right" vertical="center"/>
    </xf>
    <xf numFmtId="0" fontId="3" fillId="16" borderId="0" xfId="0" applyFont="1" applyFill="1" applyAlignment="1">
      <alignment vertical="center"/>
    </xf>
    <xf numFmtId="0" fontId="3" fillId="4" borderId="56" xfId="0" applyFont="1" applyFill="1" applyBorder="1" applyAlignment="1">
      <alignment horizontal="center"/>
    </xf>
    <xf numFmtId="0" fontId="3" fillId="2" borderId="82" xfId="0" applyFont="1" applyFill="1" applyBorder="1" applyAlignment="1">
      <alignment horizontal="center" vertical="center" wrapText="1"/>
    </xf>
    <xf numFmtId="0" fontId="58" fillId="2" borderId="82" xfId="0" applyFont="1" applyFill="1" applyBorder="1" applyAlignment="1">
      <alignment horizontal="center" vertical="center" wrapText="1"/>
    </xf>
    <xf numFmtId="168" fontId="30" fillId="22" borderId="0" xfId="0" applyNumberFormat="1" applyFont="1" applyFill="1" applyAlignment="1">
      <alignment horizontal="right"/>
    </xf>
    <xf numFmtId="2" fontId="0" fillId="22" borderId="0" xfId="0" applyNumberFormat="1" applyFill="1" applyAlignment="1">
      <alignment horizontal="right"/>
    </xf>
    <xf numFmtId="2" fontId="0" fillId="0" borderId="0" xfId="0" applyNumberFormat="1" applyAlignment="1">
      <alignment horizontal="right"/>
    </xf>
    <xf numFmtId="168" fontId="30" fillId="0" borderId="0" xfId="0" applyNumberFormat="1" applyFont="1"/>
    <xf numFmtId="2" fontId="58" fillId="0" borderId="0" xfId="0" applyNumberFormat="1" applyFont="1"/>
    <xf numFmtId="0" fontId="2" fillId="16" borderId="0" xfId="0" applyFont="1" applyFill="1" applyAlignment="1">
      <alignment horizontal="right" vertical="top" readingOrder="1"/>
    </xf>
    <xf numFmtId="0" fontId="63" fillId="16" borderId="0" xfId="0" applyFont="1" applyFill="1" applyAlignment="1">
      <alignment horizontal="right"/>
    </xf>
    <xf numFmtId="0" fontId="2" fillId="16" borderId="0" xfId="0" applyFont="1" applyFill="1" applyAlignment="1">
      <alignment vertical="center"/>
    </xf>
    <xf numFmtId="1" fontId="2" fillId="16" borderId="0" xfId="0" applyNumberFormat="1" applyFont="1" applyFill="1" applyAlignment="1">
      <alignment vertical="center"/>
    </xf>
    <xf numFmtId="168" fontId="2" fillId="16" borderId="0" xfId="0" applyNumberFormat="1" applyFont="1" applyFill="1" applyAlignment="1">
      <alignment vertical="center"/>
    </xf>
    <xf numFmtId="0" fontId="3" fillId="16" borderId="0" xfId="0" applyFont="1" applyFill="1" applyAlignment="1">
      <alignment horizontal="left" vertical="center"/>
    </xf>
    <xf numFmtId="0" fontId="2" fillId="16" borderId="0" xfId="0" applyFont="1" applyFill="1" applyAlignment="1">
      <alignment horizontal="right" vertical="center"/>
    </xf>
    <xf numFmtId="0" fontId="53" fillId="16" borderId="0" xfId="0" applyFont="1" applyFill="1"/>
    <xf numFmtId="0" fontId="2" fillId="16" borderId="0" xfId="0" applyFont="1" applyFill="1" applyAlignment="1">
      <alignment horizontal="right"/>
    </xf>
    <xf numFmtId="168" fontId="2" fillId="16" borderId="0" xfId="0" applyNumberFormat="1" applyFont="1" applyFill="1" applyAlignment="1">
      <alignment horizontal="right" vertical="center"/>
    </xf>
    <xf numFmtId="1" fontId="2" fillId="16" borderId="0" xfId="0" applyNumberFormat="1" applyFont="1" applyFill="1"/>
    <xf numFmtId="0" fontId="53" fillId="16" borderId="80" xfId="0" applyFont="1" applyFill="1" applyBorder="1"/>
    <xf numFmtId="0" fontId="54" fillId="16" borderId="80" xfId="0" applyFont="1" applyFill="1" applyBorder="1"/>
    <xf numFmtId="2" fontId="60" fillId="16" borderId="0" xfId="1" applyNumberFormat="1" applyFont="1" applyFill="1" applyBorder="1" applyAlignment="1" applyProtection="1">
      <alignment horizontal="right"/>
    </xf>
    <xf numFmtId="0" fontId="2" fillId="9" borderId="41" xfId="0" applyFont="1" applyFill="1" applyBorder="1" applyAlignment="1">
      <alignment vertical="center"/>
    </xf>
    <xf numFmtId="0" fontId="2" fillId="9" borderId="41" xfId="0" applyFont="1" applyFill="1" applyBorder="1" applyAlignment="1">
      <alignment horizontal="right" vertical="center"/>
    </xf>
    <xf numFmtId="0" fontId="61" fillId="9" borderId="41" xfId="0" applyFont="1" applyFill="1" applyBorder="1" applyAlignment="1">
      <alignment horizontal="right" vertical="center"/>
    </xf>
    <xf numFmtId="0" fontId="3" fillId="19" borderId="41" xfId="0" applyFont="1" applyFill="1" applyBorder="1" applyAlignment="1" applyProtection="1">
      <alignment vertical="center"/>
      <protection locked="0"/>
    </xf>
    <xf numFmtId="0" fontId="3" fillId="9" borderId="42" xfId="0" applyFont="1" applyFill="1" applyBorder="1" applyAlignment="1">
      <alignment vertical="center"/>
    </xf>
    <xf numFmtId="167" fontId="0" fillId="0" borderId="2" xfId="0" applyNumberFormat="1" applyBorder="1"/>
    <xf numFmtId="2" fontId="30" fillId="0" borderId="0" xfId="0" applyNumberFormat="1" applyFont="1" applyAlignment="1">
      <alignment horizontal="right"/>
    </xf>
    <xf numFmtId="179" fontId="2" fillId="0" borderId="0" xfId="0" applyNumberFormat="1" applyFont="1"/>
    <xf numFmtId="166" fontId="3" fillId="0" borderId="0" xfId="0" applyNumberFormat="1" applyFont="1"/>
    <xf numFmtId="2" fontId="15" fillId="0" borderId="0" xfId="0" applyNumberFormat="1" applyFont="1" applyAlignment="1">
      <alignment horizontal="right"/>
    </xf>
    <xf numFmtId="166" fontId="2" fillId="0" borderId="31" xfId="0" applyNumberFormat="1" applyFont="1" applyBorder="1"/>
    <xf numFmtId="168" fontId="2" fillId="0" borderId="0" xfId="0" applyNumberFormat="1" applyFont="1"/>
    <xf numFmtId="1" fontId="7" fillId="0" borderId="0" xfId="0" applyNumberFormat="1" applyFont="1"/>
    <xf numFmtId="0" fontId="2" fillId="0" borderId="44" xfId="0" applyFont="1" applyBorder="1"/>
    <xf numFmtId="0" fontId="2" fillId="0" borderId="45" xfId="0" applyFont="1" applyBorder="1"/>
    <xf numFmtId="2" fontId="0" fillId="0" borderId="45" xfId="0" applyNumberFormat="1" applyBorder="1"/>
    <xf numFmtId="168" fontId="2" fillId="12" borderId="45" xfId="0" applyNumberFormat="1" applyFont="1" applyFill="1" applyBorder="1"/>
    <xf numFmtId="0" fontId="2" fillId="0" borderId="0" xfId="0" quotePrefix="1" applyFont="1"/>
    <xf numFmtId="0" fontId="3" fillId="0" borderId="80" xfId="0" applyFont="1" applyBorder="1"/>
    <xf numFmtId="0" fontId="3" fillId="16" borderId="80" xfId="0" applyFont="1" applyFill="1" applyBorder="1"/>
    <xf numFmtId="1" fontId="3" fillId="16" borderId="0" xfId="0" applyNumberFormat="1" applyFont="1" applyFill="1"/>
    <xf numFmtId="1" fontId="61" fillId="16" borderId="0" xfId="0" applyNumberFormat="1" applyFont="1" applyFill="1" applyAlignment="1">
      <alignment horizontal="right" vertical="center"/>
    </xf>
    <xf numFmtId="0" fontId="61" fillId="16" borderId="0" xfId="0" applyFont="1" applyFill="1" applyAlignment="1">
      <alignment vertical="center"/>
    </xf>
    <xf numFmtId="0" fontId="2" fillId="16" borderId="0" xfId="0" applyFont="1" applyFill="1" applyAlignment="1" applyProtection="1">
      <alignment horizontal="left"/>
      <protection hidden="1"/>
    </xf>
    <xf numFmtId="0" fontId="56" fillId="9" borderId="41" xfId="0" applyFont="1" applyFill="1" applyBorder="1" applyAlignment="1" applyProtection="1">
      <alignment horizontal="left"/>
      <protection hidden="1"/>
    </xf>
    <xf numFmtId="1" fontId="2" fillId="9" borderId="41" xfId="0" applyNumberFormat="1" applyFont="1" applyFill="1" applyBorder="1" applyAlignment="1" applyProtection="1">
      <alignment horizontal="right"/>
      <protection hidden="1"/>
    </xf>
    <xf numFmtId="0" fontId="2" fillId="9" borderId="41" xfId="0" applyFont="1" applyFill="1" applyBorder="1" applyAlignment="1" applyProtection="1">
      <alignment horizontal="left"/>
      <protection hidden="1"/>
    </xf>
    <xf numFmtId="0" fontId="2" fillId="9" borderId="0" xfId="0" applyFont="1" applyFill="1" applyAlignment="1" applyProtection="1">
      <alignment horizontal="right"/>
      <protection hidden="1"/>
    </xf>
    <xf numFmtId="0" fontId="2" fillId="9" borderId="0" xfId="0" applyFont="1" applyFill="1" applyProtection="1">
      <protection hidden="1"/>
    </xf>
    <xf numFmtId="0" fontId="56" fillId="16" borderId="0" xfId="0" applyFont="1" applyFill="1" applyAlignment="1" applyProtection="1">
      <alignment horizontal="right"/>
      <protection hidden="1"/>
    </xf>
    <xf numFmtId="0" fontId="2" fillId="16" borderId="44" xfId="0" applyFont="1" applyFill="1" applyBorder="1"/>
    <xf numFmtId="0" fontId="2" fillId="16" borderId="45" xfId="0" applyFont="1" applyFill="1" applyBorder="1"/>
    <xf numFmtId="0" fontId="80" fillId="16" borderId="45" xfId="0" applyFont="1" applyFill="1" applyBorder="1" applyAlignment="1">
      <alignment horizontal="right"/>
    </xf>
    <xf numFmtId="0" fontId="80" fillId="16" borderId="46" xfId="0" applyFont="1" applyFill="1" applyBorder="1" applyAlignment="1">
      <alignment horizontal="right"/>
    </xf>
    <xf numFmtId="2" fontId="3" fillId="0" borderId="0" xfId="0" applyNumberFormat="1" applyFont="1"/>
    <xf numFmtId="0" fontId="2" fillId="9" borderId="30" xfId="0" applyFont="1" applyFill="1" applyBorder="1" applyAlignment="1">
      <alignment horizontal="right"/>
    </xf>
    <xf numFmtId="0" fontId="2" fillId="0" borderId="0" xfId="0" applyFont="1" applyAlignment="1">
      <alignment horizontal="center"/>
    </xf>
    <xf numFmtId="2" fontId="85" fillId="0" borderId="0" xfId="0" applyNumberFormat="1" applyFont="1"/>
    <xf numFmtId="1" fontId="86" fillId="0" borderId="0" xfId="0" applyNumberFormat="1" applyFont="1"/>
    <xf numFmtId="0" fontId="86" fillId="0" borderId="0" xfId="0" applyFont="1"/>
    <xf numFmtId="11" fontId="2" fillId="0" borderId="63" xfId="3" applyNumberFormat="1" applyBorder="1" applyAlignment="1">
      <alignment horizontal="center"/>
    </xf>
    <xf numFmtId="0" fontId="60" fillId="9" borderId="2" xfId="0" applyFont="1" applyFill="1" applyBorder="1" applyAlignment="1">
      <alignment horizontal="right"/>
    </xf>
    <xf numFmtId="0" fontId="2" fillId="16" borderId="75" xfId="0" applyFont="1" applyFill="1" applyBorder="1"/>
    <xf numFmtId="0" fontId="2" fillId="16" borderId="45" xfId="0" applyFont="1" applyFill="1" applyBorder="1" applyAlignment="1">
      <alignment horizontal="right"/>
    </xf>
    <xf numFmtId="0" fontId="2" fillId="16" borderId="46" xfId="0" applyFont="1" applyFill="1" applyBorder="1"/>
    <xf numFmtId="0" fontId="2" fillId="0" borderId="41" xfId="3" quotePrefix="1" applyBorder="1" applyAlignment="1">
      <alignment horizontal="right"/>
    </xf>
    <xf numFmtId="0" fontId="2" fillId="16" borderId="72" xfId="0" applyFont="1" applyFill="1" applyBorder="1"/>
    <xf numFmtId="11" fontId="87" fillId="0" borderId="0" xfId="0" applyNumberFormat="1" applyFont="1"/>
    <xf numFmtId="0" fontId="88" fillId="16" borderId="29" xfId="0" applyFont="1" applyFill="1" applyBorder="1"/>
    <xf numFmtId="0" fontId="58" fillId="16" borderId="80" xfId="0" applyFont="1" applyFill="1" applyBorder="1" applyAlignment="1">
      <alignment horizontal="right"/>
    </xf>
    <xf numFmtId="0" fontId="59" fillId="0" borderId="0" xfId="0" applyFont="1"/>
    <xf numFmtId="11" fontId="59" fillId="0" borderId="0" xfId="0" applyNumberFormat="1" applyFont="1"/>
    <xf numFmtId="1" fontId="59" fillId="0" borderId="0" xfId="0" applyNumberFormat="1" applyFont="1"/>
    <xf numFmtId="0" fontId="59" fillId="0" borderId="0" xfId="0" applyFont="1" applyAlignment="1">
      <alignment horizontal="center"/>
    </xf>
    <xf numFmtId="11" fontId="25" fillId="0" borderId="0" xfId="0" quotePrefix="1" applyNumberFormat="1" applyFont="1"/>
    <xf numFmtId="0" fontId="89" fillId="0" borderId="0" xfId="0" applyFont="1"/>
    <xf numFmtId="11" fontId="89" fillId="0" borderId="0" xfId="0" quotePrefix="1" applyNumberFormat="1" applyFont="1"/>
    <xf numFmtId="0" fontId="0" fillId="0" borderId="80" xfId="0" applyBorder="1"/>
    <xf numFmtId="0" fontId="90" fillId="27" borderId="0" xfId="6" applyNumberFormat="1"/>
    <xf numFmtId="11" fontId="90" fillId="27" borderId="0" xfId="6" applyNumberFormat="1"/>
    <xf numFmtId="181" fontId="90" fillId="27" borderId="0" xfId="6" applyNumberFormat="1"/>
    <xf numFmtId="0" fontId="7" fillId="0" borderId="80" xfId="0" applyFont="1" applyBorder="1"/>
    <xf numFmtId="0" fontId="2" fillId="19" borderId="0" xfId="0" applyFont="1" applyFill="1"/>
    <xf numFmtId="0" fontId="0" fillId="19" borderId="0" xfId="0" applyFill="1"/>
    <xf numFmtId="0" fontId="68" fillId="19" borderId="0" xfId="0" applyFont="1" applyFill="1"/>
    <xf numFmtId="11" fontId="0" fillId="19" borderId="0" xfId="0" applyNumberFormat="1" applyFill="1"/>
    <xf numFmtId="168" fontId="0" fillId="16" borderId="0" xfId="0" applyNumberFormat="1" applyFill="1"/>
    <xf numFmtId="1" fontId="2" fillId="0" borderId="8" xfId="3" applyNumberFormat="1" applyBorder="1"/>
    <xf numFmtId="11" fontId="2" fillId="0" borderId="8" xfId="3" applyNumberFormat="1" applyBorder="1"/>
    <xf numFmtId="167" fontId="2" fillId="8" borderId="8" xfId="3" applyNumberFormat="1" applyFill="1" applyBorder="1"/>
    <xf numFmtId="166" fontId="2" fillId="0" borderId="4" xfId="3" applyNumberFormat="1" applyBorder="1" applyAlignment="1">
      <alignment horizontal="center"/>
    </xf>
    <xf numFmtId="166" fontId="2" fillId="0" borderId="61" xfId="3" applyNumberFormat="1" applyBorder="1" applyAlignment="1">
      <alignment horizontal="center"/>
    </xf>
    <xf numFmtId="0" fontId="0" fillId="28" borderId="0" xfId="0" applyFill="1"/>
    <xf numFmtId="0" fontId="0" fillId="28" borderId="45" xfId="0" applyFill="1" applyBorder="1"/>
    <xf numFmtId="11" fontId="0" fillId="28" borderId="0" xfId="0" applyNumberFormat="1" applyFill="1"/>
    <xf numFmtId="11" fontId="2" fillId="8" borderId="8" xfId="3" applyNumberFormat="1" applyFill="1" applyBorder="1"/>
    <xf numFmtId="166" fontId="2" fillId="0" borderId="0" xfId="3" applyNumberFormat="1"/>
    <xf numFmtId="166" fontId="2" fillId="0" borderId="62" xfId="3" applyNumberFormat="1" applyBorder="1" applyAlignment="1">
      <alignment horizontal="center"/>
    </xf>
    <xf numFmtId="166" fontId="2" fillId="0" borderId="15" xfId="3" applyNumberFormat="1" applyBorder="1" applyAlignment="1">
      <alignment horizontal="center"/>
    </xf>
    <xf numFmtId="166" fontId="2" fillId="0" borderId="65" xfId="3" applyNumberFormat="1" applyBorder="1" applyAlignment="1">
      <alignment horizontal="center"/>
    </xf>
    <xf numFmtId="0" fontId="2" fillId="9" borderId="71" xfId="0" applyFont="1" applyFill="1" applyBorder="1"/>
    <xf numFmtId="0" fontId="2" fillId="9" borderId="4" xfId="0" applyFont="1" applyFill="1" applyBorder="1"/>
    <xf numFmtId="0" fontId="2" fillId="9" borderId="4" xfId="0" applyFont="1" applyFill="1" applyBorder="1" applyAlignment="1">
      <alignment horizontal="right" vertical="center"/>
    </xf>
    <xf numFmtId="0" fontId="60" fillId="0" borderId="80" xfId="0" applyFont="1" applyBorder="1"/>
    <xf numFmtId="11" fontId="0" fillId="0" borderId="0" xfId="0" applyNumberFormat="1" applyAlignment="1">
      <alignment horizontal="right"/>
    </xf>
    <xf numFmtId="2" fontId="0" fillId="4" borderId="0" xfId="5" applyNumberFormat="1" applyFont="1" applyFill="1" applyBorder="1"/>
    <xf numFmtId="0" fontId="54" fillId="16" borderId="0" xfId="0" applyFont="1" applyFill="1"/>
    <xf numFmtId="0" fontId="2" fillId="9" borderId="83" xfId="0" applyFont="1" applyFill="1" applyBorder="1"/>
    <xf numFmtId="0" fontId="17" fillId="3" borderId="0" xfId="3" applyFont="1" applyFill="1"/>
    <xf numFmtId="171" fontId="17" fillId="3" borderId="0" xfId="3" applyNumberFormat="1" applyFont="1" applyFill="1" applyAlignment="1">
      <alignment horizontal="center"/>
    </xf>
    <xf numFmtId="171" fontId="17" fillId="25" borderId="0" xfId="3" applyNumberFormat="1" applyFont="1" applyFill="1" applyAlignment="1">
      <alignment horizontal="center"/>
    </xf>
    <xf numFmtId="171" fontId="25" fillId="25" borderId="0" xfId="3" applyNumberFormat="1" applyFont="1" applyFill="1" applyAlignment="1">
      <alignment horizontal="center"/>
    </xf>
    <xf numFmtId="171" fontId="65" fillId="25" borderId="0" xfId="3" applyNumberFormat="1" applyFont="1" applyFill="1" applyAlignment="1">
      <alignment horizontal="center"/>
    </xf>
    <xf numFmtId="0" fontId="17" fillId="25" borderId="0" xfId="3" applyFont="1" applyFill="1"/>
    <xf numFmtId="0" fontId="2" fillId="16" borderId="41" xfId="3" applyFill="1" applyBorder="1"/>
    <xf numFmtId="0" fontId="3" fillId="9" borderId="46" xfId="3" applyFont="1" applyFill="1" applyBorder="1" applyAlignment="1">
      <alignment vertical="center"/>
    </xf>
    <xf numFmtId="0" fontId="3" fillId="16" borderId="45" xfId="3" applyFont="1" applyFill="1" applyBorder="1" applyAlignment="1">
      <alignment horizontal="right"/>
    </xf>
    <xf numFmtId="0" fontId="3" fillId="16" borderId="44" xfId="3" applyFont="1" applyFill="1" applyBorder="1"/>
    <xf numFmtId="0" fontId="2" fillId="16" borderId="29" xfId="3" applyFill="1" applyBorder="1"/>
    <xf numFmtId="0" fontId="3" fillId="9" borderId="45" xfId="3" applyFont="1" applyFill="1" applyBorder="1" applyAlignment="1">
      <alignment horizontal="right"/>
    </xf>
    <xf numFmtId="0" fontId="3" fillId="9" borderId="76" xfId="3" applyFont="1" applyFill="1" applyBorder="1"/>
    <xf numFmtId="0" fontId="3" fillId="16" borderId="41" xfId="3" applyFont="1" applyFill="1" applyBorder="1" applyAlignment="1">
      <alignment horizontal="right"/>
    </xf>
    <xf numFmtId="0" fontId="2" fillId="16" borderId="75" xfId="3" applyFill="1" applyBorder="1"/>
    <xf numFmtId="0" fontId="3" fillId="9" borderId="29" xfId="3" applyFont="1" applyFill="1" applyBorder="1"/>
    <xf numFmtId="0" fontId="3" fillId="9" borderId="0" xfId="3" applyFont="1" applyFill="1" applyAlignment="1">
      <alignment horizontal="right"/>
    </xf>
    <xf numFmtId="0" fontId="3" fillId="16" borderId="75" xfId="3" applyFont="1" applyFill="1" applyBorder="1"/>
    <xf numFmtId="0" fontId="91" fillId="9" borderId="0" xfId="3" applyFont="1" applyFill="1"/>
    <xf numFmtId="0" fontId="91" fillId="16" borderId="0" xfId="3" applyFont="1" applyFill="1"/>
    <xf numFmtId="0" fontId="2" fillId="16" borderId="45" xfId="3" applyFill="1" applyBorder="1"/>
    <xf numFmtId="0" fontId="2" fillId="9" borderId="46" xfId="3" applyFill="1" applyBorder="1" applyAlignment="1">
      <alignment vertical="center"/>
    </xf>
    <xf numFmtId="0" fontId="3" fillId="19" borderId="45" xfId="3" applyFont="1" applyFill="1" applyBorder="1" applyProtection="1">
      <protection locked="0"/>
    </xf>
    <xf numFmtId="0" fontId="2" fillId="16" borderId="45" xfId="3" applyFill="1" applyBorder="1" applyAlignment="1">
      <alignment horizontal="right"/>
    </xf>
    <xf numFmtId="2" fontId="2" fillId="9" borderId="45" xfId="3" applyNumberFormat="1" applyFill="1" applyBorder="1"/>
    <xf numFmtId="0" fontId="2" fillId="9" borderId="45" xfId="3" applyFill="1" applyBorder="1" applyAlignment="1">
      <alignment horizontal="right"/>
    </xf>
    <xf numFmtId="0" fontId="2" fillId="16" borderId="44" xfId="3" applyFill="1" applyBorder="1"/>
    <xf numFmtId="0" fontId="2" fillId="16" borderId="46" xfId="3" applyFill="1" applyBorder="1"/>
    <xf numFmtId="0" fontId="2" fillId="9" borderId="29" xfId="3" applyFill="1" applyBorder="1"/>
    <xf numFmtId="0" fontId="3" fillId="19" borderId="0" xfId="3" applyFont="1" applyFill="1" applyProtection="1">
      <protection locked="0"/>
    </xf>
    <xf numFmtId="0" fontId="2" fillId="16" borderId="0" xfId="3" applyFill="1" applyAlignment="1">
      <alignment horizontal="right"/>
    </xf>
    <xf numFmtId="0" fontId="2" fillId="9" borderId="0" xfId="3" applyFill="1" applyAlignment="1">
      <alignment horizontal="right"/>
    </xf>
    <xf numFmtId="0" fontId="2" fillId="16" borderId="80" xfId="3" applyFill="1" applyBorder="1"/>
    <xf numFmtId="0" fontId="2" fillId="9" borderId="76" xfId="3" applyFill="1" applyBorder="1"/>
    <xf numFmtId="0" fontId="3" fillId="19" borderId="41" xfId="3" applyFont="1" applyFill="1" applyBorder="1" applyProtection="1">
      <protection locked="0"/>
    </xf>
    <xf numFmtId="0" fontId="60" fillId="9" borderId="41" xfId="3" applyFont="1" applyFill="1" applyBorder="1" applyAlignment="1">
      <alignment horizontal="right"/>
    </xf>
    <xf numFmtId="0" fontId="2" fillId="16" borderId="76" xfId="3" applyFill="1" applyBorder="1"/>
    <xf numFmtId="0" fontId="92" fillId="16" borderId="41" xfId="3" applyFont="1" applyFill="1" applyBorder="1"/>
    <xf numFmtId="0" fontId="91" fillId="9" borderId="41" xfId="3" applyFont="1" applyFill="1" applyBorder="1"/>
    <xf numFmtId="0" fontId="91" fillId="9" borderId="41" xfId="3" applyFont="1" applyFill="1" applyBorder="1" applyAlignment="1">
      <alignment horizontal="right"/>
    </xf>
    <xf numFmtId="0" fontId="91" fillId="16" borderId="75" xfId="3" applyFont="1" applyFill="1" applyBorder="1"/>
    <xf numFmtId="0" fontId="27" fillId="25" borderId="45" xfId="3" applyFont="1" applyFill="1" applyBorder="1"/>
    <xf numFmtId="0" fontId="20" fillId="25" borderId="45" xfId="3" applyFont="1" applyFill="1" applyBorder="1"/>
    <xf numFmtId="0" fontId="31" fillId="25" borderId="45" xfId="3" applyFont="1" applyFill="1" applyBorder="1"/>
    <xf numFmtId="0" fontId="31" fillId="25" borderId="44" xfId="3" applyFont="1" applyFill="1" applyBorder="1"/>
    <xf numFmtId="0" fontId="29" fillId="25" borderId="0" xfId="3" applyFont="1" applyFill="1"/>
    <xf numFmtId="0" fontId="29" fillId="25" borderId="0" xfId="3" applyFont="1" applyFill="1" applyAlignment="1">
      <alignment vertical="center"/>
    </xf>
    <xf numFmtId="0" fontId="20" fillId="25" borderId="0" xfId="3" applyFont="1" applyFill="1" applyAlignment="1">
      <alignment vertical="center"/>
    </xf>
    <xf numFmtId="0" fontId="26" fillId="25" borderId="0" xfId="3" applyFont="1" applyFill="1" applyAlignment="1">
      <alignment horizontal="left"/>
    </xf>
    <xf numFmtId="0" fontId="24" fillId="25" borderId="0" xfId="3" quotePrefix="1" applyFont="1" applyFill="1" applyAlignment="1">
      <alignment vertical="center"/>
    </xf>
    <xf numFmtId="0" fontId="20" fillId="19" borderId="0" xfId="3" applyFont="1" applyFill="1" applyAlignment="1">
      <alignment vertical="center"/>
    </xf>
    <xf numFmtId="0" fontId="67" fillId="25" borderId="0" xfId="3" applyFont="1" applyFill="1" applyAlignment="1">
      <alignment horizontal="left" vertical="center"/>
    </xf>
    <xf numFmtId="0" fontId="24" fillId="25" borderId="0" xfId="3" applyFont="1" applyFill="1" applyAlignment="1">
      <alignment horizontal="left" vertical="center"/>
    </xf>
    <xf numFmtId="0" fontId="24" fillId="25" borderId="80" xfId="3" applyFont="1" applyFill="1" applyBorder="1" applyAlignment="1">
      <alignment horizontal="left" vertical="center"/>
    </xf>
    <xf numFmtId="0" fontId="26" fillId="25" borderId="80" xfId="3" applyFont="1" applyFill="1" applyBorder="1" applyAlignment="1">
      <alignment horizontal="left"/>
    </xf>
    <xf numFmtId="168" fontId="3" fillId="9" borderId="0" xfId="3" applyNumberFormat="1" applyFont="1" applyFill="1"/>
    <xf numFmtId="0" fontId="2" fillId="16" borderId="74" xfId="3" applyFill="1" applyBorder="1"/>
    <xf numFmtId="0" fontId="2" fillId="16" borderId="72" xfId="3" applyFill="1" applyBorder="1"/>
    <xf numFmtId="0" fontId="2" fillId="0" borderId="41" xfId="3" applyBorder="1"/>
    <xf numFmtId="0" fontId="2" fillId="16" borderId="0" xfId="3" quotePrefix="1" applyFill="1" applyAlignment="1">
      <alignment horizontal="right"/>
    </xf>
    <xf numFmtId="2" fontId="2" fillId="16" borderId="0" xfId="3" quotePrefix="1" applyNumberFormat="1" applyFill="1" applyAlignment="1">
      <alignment horizontal="right"/>
    </xf>
    <xf numFmtId="0" fontId="2" fillId="0" borderId="74" xfId="3" applyBorder="1"/>
    <xf numFmtId="2" fontId="2" fillId="9" borderId="45" xfId="3" applyNumberFormat="1" applyFill="1" applyBorder="1" applyAlignment="1">
      <alignment horizontal="right"/>
    </xf>
    <xf numFmtId="0" fontId="0" fillId="19" borderId="0" xfId="0" applyFill="1" applyProtection="1">
      <protection locked="0"/>
    </xf>
    <xf numFmtId="0" fontId="2" fillId="19" borderId="45" xfId="3" applyFill="1" applyBorder="1" applyAlignment="1" applyProtection="1">
      <alignment horizontal="right"/>
      <protection locked="0"/>
    </xf>
    <xf numFmtId="1" fontId="0" fillId="0" borderId="0" xfId="0" applyNumberFormat="1" applyAlignment="1">
      <alignment horizontal="left"/>
    </xf>
    <xf numFmtId="0" fontId="3" fillId="9" borderId="45" xfId="0" applyFont="1" applyFill="1" applyBorder="1" applyAlignment="1">
      <alignment horizontal="right" vertical="center"/>
    </xf>
    <xf numFmtId="168" fontId="3" fillId="9" borderId="45" xfId="3" applyNumberFormat="1" applyFont="1" applyFill="1" applyBorder="1"/>
    <xf numFmtId="168" fontId="3" fillId="16" borderId="41" xfId="3" applyNumberFormat="1" applyFont="1" applyFill="1" applyBorder="1"/>
    <xf numFmtId="168" fontId="3" fillId="16" borderId="45" xfId="3" applyNumberFormat="1" applyFont="1" applyFill="1" applyBorder="1"/>
    <xf numFmtId="168" fontId="91" fillId="9" borderId="0" xfId="3" applyNumberFormat="1" applyFont="1" applyFill="1"/>
    <xf numFmtId="168" fontId="2" fillId="9" borderId="4" xfId="0" applyNumberFormat="1" applyFont="1" applyFill="1" applyBorder="1" applyAlignment="1">
      <alignment vertical="center"/>
    </xf>
    <xf numFmtId="0" fontId="93" fillId="16" borderId="0" xfId="3" applyFont="1" applyFill="1" applyAlignment="1">
      <alignment horizontal="right"/>
    </xf>
    <xf numFmtId="168" fontId="74" fillId="16" borderId="0" xfId="3" applyNumberFormat="1" applyFont="1" applyFill="1"/>
    <xf numFmtId="0" fontId="74" fillId="16" borderId="0" xfId="3" applyFont="1" applyFill="1"/>
    <xf numFmtId="0" fontId="3" fillId="19" borderId="0" xfId="0" applyFont="1" applyFill="1"/>
    <xf numFmtId="0" fontId="58" fillId="0" borderId="0" xfId="0" quotePrefix="1" applyFont="1" applyProtection="1">
      <protection locked="0"/>
    </xf>
    <xf numFmtId="168" fontId="2" fillId="9" borderId="75" xfId="0" applyNumberFormat="1" applyFont="1" applyFill="1" applyBorder="1" applyAlignment="1">
      <alignment horizontal="right"/>
    </xf>
    <xf numFmtId="0" fontId="3" fillId="9" borderId="46" xfId="0" applyFont="1" applyFill="1" applyBorder="1" applyAlignment="1">
      <alignment vertical="center"/>
    </xf>
    <xf numFmtId="0" fontId="3" fillId="16" borderId="0" xfId="0" applyFont="1" applyFill="1" applyProtection="1">
      <protection locked="0"/>
    </xf>
    <xf numFmtId="168" fontId="3" fillId="19" borderId="45" xfId="0" applyNumberFormat="1" applyFont="1" applyFill="1" applyBorder="1" applyAlignment="1" applyProtection="1">
      <alignment vertical="center"/>
      <protection locked="0"/>
    </xf>
    <xf numFmtId="0" fontId="2" fillId="9" borderId="32" xfId="0" applyFont="1" applyFill="1" applyBorder="1" applyAlignment="1">
      <alignment vertical="top"/>
    </xf>
    <xf numFmtId="167" fontId="2" fillId="9" borderId="45" xfId="0" applyNumberFormat="1" applyFont="1" applyFill="1" applyBorder="1" applyAlignment="1">
      <alignment horizontal="right" vertical="center"/>
    </xf>
    <xf numFmtId="2" fontId="2" fillId="9" borderId="0" xfId="0" applyNumberFormat="1" applyFont="1" applyFill="1" applyAlignment="1">
      <alignment vertical="center"/>
    </xf>
    <xf numFmtId="0" fontId="63" fillId="9" borderId="0" xfId="0" applyFont="1" applyFill="1" applyAlignment="1">
      <alignment horizontal="left" vertical="center"/>
    </xf>
    <xf numFmtId="0" fontId="24" fillId="25" borderId="0" xfId="0" applyFont="1" applyFill="1" applyAlignment="1">
      <alignment horizontal="center" vertical="center"/>
    </xf>
    <xf numFmtId="0" fontId="49" fillId="17" borderId="43" xfId="0" applyFont="1" applyFill="1" applyBorder="1" applyAlignment="1">
      <alignment horizontal="left" vertical="center"/>
    </xf>
    <xf numFmtId="0" fontId="49" fillId="17" borderId="41" xfId="0" applyFont="1" applyFill="1" applyBorder="1" applyAlignment="1">
      <alignment horizontal="left" vertical="center"/>
    </xf>
    <xf numFmtId="0" fontId="2" fillId="9" borderId="0" xfId="0" applyFont="1" applyFill="1" applyAlignment="1">
      <alignment horizontal="left" vertical="top"/>
    </xf>
    <xf numFmtId="0" fontId="2" fillId="9" borderId="29" xfId="0" applyFont="1" applyFill="1" applyBorder="1" applyAlignment="1">
      <alignment horizontal="left" vertical="top"/>
    </xf>
    <xf numFmtId="0" fontId="3" fillId="9" borderId="0" xfId="0" applyFont="1" applyFill="1" applyAlignment="1">
      <alignment horizontal="left" vertical="center" wrapText="1"/>
    </xf>
    <xf numFmtId="0" fontId="3" fillId="9" borderId="29" xfId="0" applyFont="1" applyFill="1" applyBorder="1" applyAlignment="1">
      <alignment horizontal="left" vertical="center" wrapText="1"/>
    </xf>
    <xf numFmtId="0" fontId="49" fillId="17" borderId="75" xfId="3" applyFont="1" applyFill="1" applyBorder="1" applyAlignment="1">
      <alignment horizontal="left" vertical="top"/>
    </xf>
    <xf numFmtId="0" fontId="49" fillId="17" borderId="41" xfId="3" applyFont="1" applyFill="1" applyBorder="1" applyAlignment="1">
      <alignment horizontal="left" vertical="top"/>
    </xf>
    <xf numFmtId="0" fontId="24" fillId="25" borderId="0" xfId="3" applyFont="1" applyFill="1" applyAlignment="1">
      <alignment horizontal="center" vertical="center"/>
    </xf>
    <xf numFmtId="0" fontId="49" fillId="17" borderId="43" xfId="0" applyFont="1" applyFill="1" applyBorder="1" applyAlignment="1">
      <alignment horizontal="left" vertical="top"/>
    </xf>
    <xf numFmtId="0" fontId="49" fillId="17" borderId="41" xfId="0" applyFont="1" applyFill="1" applyBorder="1" applyAlignment="1">
      <alignment horizontal="left" vertical="top"/>
    </xf>
    <xf numFmtId="0" fontId="69" fillId="3" borderId="51" xfId="3" applyFont="1" applyFill="1" applyBorder="1" applyAlignment="1">
      <alignment horizontal="left" vertical="center"/>
    </xf>
    <xf numFmtId="0" fontId="69" fillId="3" borderId="52" xfId="3" applyFont="1" applyFill="1" applyBorder="1" applyAlignment="1">
      <alignment horizontal="left" vertical="center"/>
    </xf>
    <xf numFmtId="0" fontId="69" fillId="3" borderId="53" xfId="3" applyFont="1" applyFill="1" applyBorder="1" applyAlignment="1">
      <alignment horizontal="left" vertical="center"/>
    </xf>
    <xf numFmtId="188" fontId="2" fillId="16" borderId="8" xfId="3" applyNumberFormat="1" applyFill="1" applyBorder="1" applyAlignment="1">
      <alignment horizontal="left" vertical="center"/>
    </xf>
    <xf numFmtId="188" fontId="2" fillId="16" borderId="9" xfId="3" applyNumberFormat="1" applyFill="1" applyBorder="1" applyAlignment="1">
      <alignment horizontal="left" vertical="center"/>
    </xf>
    <xf numFmtId="188" fontId="2" fillId="16" borderId="15" xfId="3" applyNumberFormat="1" applyFill="1" applyBorder="1" applyAlignment="1">
      <alignment horizontal="left" vertical="center"/>
    </xf>
    <xf numFmtId="188" fontId="2" fillId="21" borderId="8" xfId="3" applyNumberFormat="1" applyFill="1" applyBorder="1" applyAlignment="1">
      <alignment horizontal="left" vertical="center"/>
    </xf>
    <xf numFmtId="188" fontId="2" fillId="21" borderId="9" xfId="3" applyNumberFormat="1" applyFill="1" applyBorder="1" applyAlignment="1">
      <alignment horizontal="left" vertical="center"/>
    </xf>
    <xf numFmtId="188" fontId="2" fillId="21" borderId="15" xfId="3" applyNumberFormat="1" applyFill="1" applyBorder="1" applyAlignment="1">
      <alignment horizontal="left" vertical="center"/>
    </xf>
    <xf numFmtId="182" fontId="2" fillId="16" borderId="8" xfId="3" applyNumberFormat="1" applyFill="1" applyBorder="1" applyAlignment="1">
      <alignment horizontal="left" vertical="center"/>
    </xf>
    <xf numFmtId="182" fontId="2" fillId="16" borderId="9" xfId="3" applyNumberFormat="1" applyFill="1" applyBorder="1" applyAlignment="1">
      <alignment horizontal="left" vertical="center"/>
    </xf>
    <xf numFmtId="182" fontId="2" fillId="16" borderId="15" xfId="3" applyNumberFormat="1" applyFill="1" applyBorder="1" applyAlignment="1">
      <alignment horizontal="left" vertical="center"/>
    </xf>
    <xf numFmtId="190" fontId="2" fillId="21" borderId="8" xfId="3" applyNumberFormat="1" applyFill="1" applyBorder="1" applyAlignment="1">
      <alignment horizontal="left" vertical="center"/>
    </xf>
    <xf numFmtId="190" fontId="2" fillId="21" borderId="9" xfId="3" applyNumberFormat="1" applyFill="1" applyBorder="1" applyAlignment="1">
      <alignment horizontal="left" vertical="center"/>
    </xf>
    <xf numFmtId="190" fontId="2" fillId="21" borderId="15" xfId="3" applyNumberFormat="1" applyFill="1" applyBorder="1" applyAlignment="1">
      <alignment horizontal="left" vertical="center"/>
    </xf>
    <xf numFmtId="177" fontId="2" fillId="20" borderId="8" xfId="3" applyNumberFormat="1" applyFill="1" applyBorder="1" applyAlignment="1">
      <alignment horizontal="left" vertical="center"/>
    </xf>
    <xf numFmtId="177" fontId="2" fillId="20" borderId="9" xfId="3" applyNumberFormat="1" applyFill="1" applyBorder="1" applyAlignment="1">
      <alignment horizontal="left" vertical="center"/>
    </xf>
    <xf numFmtId="177" fontId="2" fillId="20" borderId="15" xfId="3" applyNumberFormat="1" applyFill="1" applyBorder="1" applyAlignment="1">
      <alignment horizontal="left" vertical="center"/>
    </xf>
    <xf numFmtId="183" fontId="2" fillId="9" borderId="8" xfId="3" applyNumberFormat="1" applyFill="1" applyBorder="1" applyAlignment="1">
      <alignment horizontal="left" vertical="center"/>
    </xf>
    <xf numFmtId="183" fontId="2" fillId="9" borderId="9" xfId="3" applyNumberFormat="1" applyFill="1" applyBorder="1" applyAlignment="1">
      <alignment horizontal="left" vertical="center"/>
    </xf>
    <xf numFmtId="184" fontId="2" fillId="20" borderId="8" xfId="3" applyNumberFormat="1" applyFill="1" applyBorder="1" applyAlignment="1">
      <alignment horizontal="left" vertical="center"/>
    </xf>
    <xf numFmtId="184" fontId="2" fillId="20" borderId="9" xfId="3" applyNumberFormat="1" applyFill="1" applyBorder="1" applyAlignment="1">
      <alignment horizontal="left" vertical="center"/>
    </xf>
    <xf numFmtId="187" fontId="2" fillId="20" borderId="8" xfId="3" applyNumberFormat="1" applyFill="1" applyBorder="1" applyAlignment="1">
      <alignment horizontal="left" vertical="center"/>
    </xf>
    <xf numFmtId="187" fontId="2" fillId="20" borderId="9" xfId="3" applyNumberFormat="1" applyFill="1" applyBorder="1" applyAlignment="1">
      <alignment horizontal="left" vertical="center"/>
    </xf>
    <xf numFmtId="183" fontId="2" fillId="16" borderId="8" xfId="3" applyNumberFormat="1" applyFill="1" applyBorder="1" applyAlignment="1">
      <alignment horizontal="left" vertical="center"/>
    </xf>
    <xf numFmtId="183" fontId="2" fillId="16" borderId="9" xfId="3" applyNumberFormat="1" applyFill="1" applyBorder="1" applyAlignment="1">
      <alignment horizontal="left" vertical="center"/>
    </xf>
    <xf numFmtId="185" fontId="2" fillId="20" borderId="8" xfId="3" applyNumberFormat="1" applyFill="1" applyBorder="1" applyAlignment="1">
      <alignment horizontal="left" vertical="center"/>
    </xf>
    <xf numFmtId="185" fontId="2" fillId="20" borderId="9" xfId="3" applyNumberFormat="1" applyFill="1" applyBorder="1" applyAlignment="1">
      <alignment horizontal="left" vertical="center"/>
    </xf>
    <xf numFmtId="186" fontId="2" fillId="20" borderId="8" xfId="3" applyNumberFormat="1" applyFill="1" applyBorder="1" applyAlignment="1">
      <alignment horizontal="left" vertical="center"/>
    </xf>
    <xf numFmtId="186" fontId="2" fillId="20" borderId="9" xfId="3" applyNumberFormat="1" applyFill="1" applyBorder="1" applyAlignment="1">
      <alignment horizontal="left" vertical="center"/>
    </xf>
    <xf numFmtId="189" fontId="2" fillId="16" borderId="8" xfId="3" applyNumberFormat="1" applyFill="1" applyBorder="1" applyAlignment="1">
      <alignment horizontal="left" vertical="center"/>
    </xf>
    <xf numFmtId="189" fontId="2" fillId="16" borderId="9" xfId="3" applyNumberFormat="1" applyFill="1" applyBorder="1" applyAlignment="1">
      <alignment horizontal="left" vertical="center"/>
    </xf>
    <xf numFmtId="189" fontId="2" fillId="16" borderId="15" xfId="3" applyNumberFormat="1" applyFill="1" applyBorder="1" applyAlignment="1">
      <alignment horizontal="left" vertical="center"/>
    </xf>
    <xf numFmtId="0" fontId="3" fillId="9" borderId="79" xfId="3" applyFont="1" applyFill="1" applyBorder="1" applyAlignment="1">
      <alignment horizontal="center" vertical="center"/>
    </xf>
    <xf numFmtId="0" fontId="3" fillId="9" borderId="67" xfId="3" applyFont="1" applyFill="1" applyBorder="1" applyAlignment="1">
      <alignment horizontal="center" vertical="center"/>
    </xf>
    <xf numFmtId="0" fontId="58" fillId="9" borderId="14" xfId="3" applyFont="1" applyFill="1" applyBorder="1" applyAlignment="1">
      <alignment horizontal="left" vertical="center"/>
    </xf>
    <xf numFmtId="0" fontId="58" fillId="9" borderId="12" xfId="3" applyFont="1" applyFill="1" applyBorder="1" applyAlignment="1">
      <alignment horizontal="left" vertical="center"/>
    </xf>
    <xf numFmtId="0" fontId="2" fillId="9" borderId="78" xfId="3" applyFill="1" applyBorder="1" applyAlignment="1">
      <alignment horizontal="left" vertical="center"/>
    </xf>
    <xf numFmtId="0" fontId="2" fillId="9" borderId="10" xfId="3" applyFill="1" applyBorder="1" applyAlignment="1">
      <alignment horizontal="left" vertical="center"/>
    </xf>
    <xf numFmtId="0" fontId="2" fillId="9" borderId="16" xfId="3" applyFill="1" applyBorder="1" applyAlignment="1">
      <alignment horizontal="left" vertical="center"/>
    </xf>
    <xf numFmtId="0" fontId="2" fillId="9" borderId="69" xfId="3" applyFill="1" applyBorder="1" applyAlignment="1">
      <alignment horizontal="left" vertical="center"/>
    </xf>
    <xf numFmtId="0" fontId="2" fillId="9" borderId="4" xfId="3" applyFill="1" applyBorder="1" applyAlignment="1">
      <alignment horizontal="left" vertical="center"/>
    </xf>
    <xf numFmtId="0" fontId="2" fillId="9" borderId="17" xfId="3" applyFill="1" applyBorder="1" applyAlignment="1">
      <alignment horizontal="left" vertical="center"/>
    </xf>
    <xf numFmtId="0" fontId="58" fillId="9" borderId="14" xfId="3" applyFont="1" applyFill="1" applyBorder="1" applyAlignment="1">
      <alignment horizontal="center" vertical="center"/>
    </xf>
    <xf numFmtId="0" fontId="58" fillId="9" borderId="12" xfId="3" applyFont="1" applyFill="1" applyBorder="1" applyAlignment="1">
      <alignment horizontal="center" vertical="center"/>
    </xf>
    <xf numFmtId="0" fontId="3" fillId="9" borderId="14" xfId="3" applyFont="1" applyFill="1" applyBorder="1" applyAlignment="1">
      <alignment horizontal="left" vertical="center" wrapText="1"/>
    </xf>
    <xf numFmtId="0" fontId="3" fillId="9" borderId="12" xfId="3" applyFont="1" applyFill="1" applyBorder="1" applyAlignment="1">
      <alignment horizontal="left" vertical="center" wrapText="1"/>
    </xf>
    <xf numFmtId="0" fontId="3" fillId="9" borderId="14" xfId="3" applyFont="1" applyFill="1" applyBorder="1" applyAlignment="1">
      <alignment horizontal="left" vertical="center"/>
    </xf>
    <xf numFmtId="0" fontId="3" fillId="9" borderId="12" xfId="3" applyFont="1" applyFill="1" applyBorder="1" applyAlignment="1">
      <alignment horizontal="left" vertical="center"/>
    </xf>
    <xf numFmtId="0" fontId="47" fillId="16" borderId="28" xfId="0" applyFont="1" applyFill="1" applyBorder="1" applyAlignment="1">
      <alignment horizontal="left" vertical="center"/>
    </xf>
    <xf numFmtId="0" fontId="47" fillId="16" borderId="0" xfId="0"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74" fillId="4" borderId="74" xfId="3" applyFont="1" applyFill="1" applyBorder="1" applyAlignment="1">
      <alignment horizontal="center" vertical="center"/>
    </xf>
    <xf numFmtId="0" fontId="74" fillId="4" borderId="66" xfId="3" applyFont="1" applyFill="1" applyBorder="1" applyAlignment="1">
      <alignment horizontal="center" vertical="center"/>
    </xf>
    <xf numFmtId="0" fontId="3" fillId="0" borderId="55" xfId="3" applyFont="1" applyBorder="1" applyAlignment="1">
      <alignment horizontal="center"/>
    </xf>
    <xf numFmtId="0" fontId="3" fillId="0" borderId="56" xfId="3" applyFont="1" applyBorder="1" applyAlignment="1">
      <alignment horizontal="center"/>
    </xf>
    <xf numFmtId="0" fontId="2" fillId="0" borderId="56" xfId="3" applyBorder="1" applyAlignment="1">
      <alignment horizontal="center"/>
    </xf>
    <xf numFmtId="0" fontId="2" fillId="0" borderId="57" xfId="3" applyBorder="1" applyAlignment="1">
      <alignment horizontal="center"/>
    </xf>
    <xf numFmtId="0" fontId="74" fillId="4" borderId="74" xfId="3" applyFont="1" applyFill="1" applyBorder="1" applyAlignment="1">
      <alignment horizontal="center" vertical="top" shrinkToFit="1"/>
    </xf>
    <xf numFmtId="0" fontId="2" fillId="4" borderId="73" xfId="3" applyFill="1" applyBorder="1" applyAlignment="1">
      <alignment horizontal="center" vertical="top" shrinkToFit="1"/>
    </xf>
    <xf numFmtId="0" fontId="2" fillId="4" borderId="72" xfId="3" applyFill="1" applyBorder="1" applyAlignment="1">
      <alignment horizontal="center" vertical="top" shrinkToFit="1"/>
    </xf>
    <xf numFmtId="0" fontId="74" fillId="4" borderId="60" xfId="3" applyFont="1" applyFill="1" applyBorder="1" applyAlignment="1">
      <alignment horizontal="center"/>
    </xf>
    <xf numFmtId="0" fontId="74" fillId="4" borderId="62" xfId="3" applyFont="1" applyFill="1" applyBorder="1" applyAlignment="1">
      <alignment horizontal="center"/>
    </xf>
    <xf numFmtId="0" fontId="3" fillId="0" borderId="57" xfId="3" applyFont="1" applyBorder="1" applyAlignment="1">
      <alignment horizontal="center"/>
    </xf>
    <xf numFmtId="0" fontId="3" fillId="0" borderId="64" xfId="3" applyFont="1" applyBorder="1" applyAlignment="1">
      <alignment horizontal="center"/>
    </xf>
    <xf numFmtId="0" fontId="3" fillId="0" borderId="65" xfId="3" applyFont="1" applyBorder="1" applyAlignment="1">
      <alignment horizontal="center"/>
    </xf>
    <xf numFmtId="0" fontId="74" fillId="4" borderId="55" xfId="3" applyFont="1" applyFill="1" applyBorder="1" applyAlignment="1">
      <alignment horizontal="center"/>
    </xf>
    <xf numFmtId="0" fontId="74" fillId="4" borderId="56" xfId="3" applyFont="1" applyFill="1" applyBorder="1" applyAlignment="1">
      <alignment horizontal="center"/>
    </xf>
    <xf numFmtId="0" fontId="74" fillId="4" borderId="57" xfId="3" applyFont="1" applyFill="1" applyBorder="1" applyAlignment="1">
      <alignment horizontal="center"/>
    </xf>
    <xf numFmtId="0" fontId="2" fillId="4" borderId="61" xfId="3" applyFill="1" applyBorder="1" applyAlignment="1">
      <alignment horizontal="center"/>
    </xf>
    <xf numFmtId="0" fontId="2" fillId="4" borderId="62" xfId="3" applyFill="1" applyBorder="1" applyAlignment="1">
      <alignment horizontal="center"/>
    </xf>
    <xf numFmtId="0" fontId="3" fillId="0" borderId="51" xfId="3" applyFont="1" applyBorder="1" applyAlignment="1">
      <alignment horizontal="center"/>
    </xf>
    <xf numFmtId="0" fontId="3" fillId="4" borderId="60" xfId="3" applyFont="1" applyFill="1" applyBorder="1"/>
    <xf numFmtId="0" fontId="3" fillId="4" borderId="62" xfId="3" applyFont="1" applyFill="1" applyBorder="1"/>
    <xf numFmtId="0" fontId="3" fillId="0" borderId="18" xfId="3" applyFont="1" applyBorder="1" applyAlignment="1">
      <alignment horizontal="center"/>
    </xf>
    <xf numFmtId="0" fontId="3" fillId="0" borderId="11" xfId="3" applyFont="1" applyBorder="1" applyAlignment="1">
      <alignment horizontal="center"/>
    </xf>
    <xf numFmtId="0" fontId="3" fillId="0" borderId="58" xfId="3" applyFont="1" applyBorder="1" applyAlignment="1">
      <alignment horizontal="center"/>
    </xf>
    <xf numFmtId="0" fontId="3" fillId="4" borderId="55" xfId="0" applyFont="1" applyFill="1" applyBorder="1" applyAlignment="1">
      <alignment horizontal="center"/>
    </xf>
    <xf numFmtId="0" fontId="3" fillId="4" borderId="56" xfId="0" applyFont="1" applyFill="1" applyBorder="1" applyAlignment="1">
      <alignment horizontal="center"/>
    </xf>
    <xf numFmtId="0" fontId="3" fillId="4" borderId="57" xfId="0" applyFont="1" applyFill="1" applyBorder="1" applyAlignment="1">
      <alignment horizontal="center"/>
    </xf>
    <xf numFmtId="0" fontId="13" fillId="3" borderId="0" xfId="0" applyFont="1" applyFill="1" applyAlignment="1">
      <alignment horizontal="left"/>
    </xf>
    <xf numFmtId="0" fontId="3" fillId="0" borderId="0" xfId="0" applyFont="1" applyAlignment="1">
      <alignment horizontal="left" wrapText="1"/>
    </xf>
    <xf numFmtId="169" fontId="3" fillId="4" borderId="55" xfId="0" applyNumberFormat="1" applyFont="1" applyFill="1" applyBorder="1" applyAlignment="1">
      <alignment horizontal="center"/>
    </xf>
    <xf numFmtId="169" fontId="3" fillId="4" borderId="56" xfId="0" applyNumberFormat="1" applyFont="1" applyFill="1" applyBorder="1" applyAlignment="1">
      <alignment horizontal="center"/>
    </xf>
    <xf numFmtId="169" fontId="3" fillId="4" borderId="57" xfId="0" applyNumberFormat="1" applyFont="1" applyFill="1" applyBorder="1" applyAlignment="1">
      <alignment horizontal="center"/>
    </xf>
    <xf numFmtId="0" fontId="3" fillId="24" borderId="0" xfId="0" applyFont="1" applyFill="1" applyAlignment="1">
      <alignment horizontal="center"/>
    </xf>
    <xf numFmtId="0" fontId="3" fillId="4" borderId="47" xfId="0" applyFont="1" applyFill="1" applyBorder="1" applyAlignment="1">
      <alignment horizontal="center"/>
    </xf>
    <xf numFmtId="0" fontId="3" fillId="4" borderId="48" xfId="0" applyFont="1" applyFill="1" applyBorder="1" applyAlignment="1">
      <alignment horizontal="center"/>
    </xf>
    <xf numFmtId="0" fontId="3" fillId="4" borderId="81" xfId="0" applyFont="1" applyFill="1" applyBorder="1" applyAlignment="1">
      <alignment horizontal="center"/>
    </xf>
    <xf numFmtId="0" fontId="3" fillId="4" borderId="20" xfId="0" applyFont="1" applyFill="1" applyBorder="1" applyAlignment="1">
      <alignment horizontal="center"/>
    </xf>
    <xf numFmtId="0" fontId="59" fillId="0" borderId="0" xfId="0" applyFont="1" applyAlignment="1">
      <alignment horizontal="center"/>
    </xf>
    <xf numFmtId="2" fontId="3" fillId="0" borderId="0" xfId="0" applyNumberFormat="1" applyFont="1" applyAlignment="1">
      <alignment horizontal="center"/>
    </xf>
    <xf numFmtId="2" fontId="2" fillId="0" borderId="0" xfId="0" applyNumberFormat="1" applyFont="1" applyAlignment="1">
      <alignment horizontal="center"/>
    </xf>
  </cellXfs>
  <cellStyles count="7">
    <cellStyle name="Bad" xfId="6" builtinId="27"/>
    <cellStyle name="Comma" xfId="1" builtinId="3"/>
    <cellStyle name="Comma 2" xfId="5" xr:uid="{00000000-0005-0000-0000-000002000000}"/>
    <cellStyle name="Hyperlink" xfId="2" builtinId="8"/>
    <cellStyle name="Normal" xfId="0" builtinId="0"/>
    <cellStyle name="Normal 2" xfId="3" xr:uid="{00000000-0005-0000-0000-000005000000}"/>
    <cellStyle name="Normal 3" xfId="4" xr:uid="{00000000-0005-0000-0000-000006000000}"/>
  </cellStyles>
  <dxfs count="35">
    <dxf>
      <font>
        <color theme="0"/>
      </font>
      <fill>
        <patternFill patternType="none">
          <bgColor auto="1"/>
        </patternFill>
      </fill>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border>
        <left/>
        <right/>
        <top/>
        <bottom/>
      </border>
    </dxf>
    <dxf>
      <font>
        <color theme="0"/>
      </font>
      <fill>
        <patternFill patternType="solid">
          <bgColor theme="0"/>
        </patternFill>
      </fill>
      <border>
        <right/>
        <top/>
        <bottom/>
        <vertical/>
        <horizontal/>
      </border>
    </dxf>
    <dxf>
      <font>
        <color theme="0"/>
      </font>
      <border>
        <left/>
        <right/>
        <top/>
        <bottom/>
      </border>
    </dxf>
    <dxf>
      <font>
        <color theme="0"/>
      </font>
      <fill>
        <patternFill patternType="solid">
          <bgColor theme="0"/>
        </patternFill>
      </fill>
      <border>
        <right/>
        <top/>
        <bottom/>
        <vertical/>
        <horizontal/>
      </border>
    </dxf>
    <dxf>
      <font>
        <b/>
        <i val="0"/>
        <color rgb="FFC0000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border>
        <left/>
        <right/>
        <top style="thin">
          <color auto="1"/>
        </top>
        <bottom/>
        <vertical/>
        <horizontal/>
      </border>
    </dxf>
    <dxf>
      <font>
        <color rgb="FFC00000"/>
      </font>
    </dxf>
    <dxf>
      <font>
        <color theme="0"/>
      </font>
      <fill>
        <patternFill>
          <bgColor theme="0"/>
        </patternFill>
      </fill>
      <border>
        <right/>
        <top/>
        <bottom/>
        <vertical/>
        <horizontal/>
      </border>
    </dxf>
    <dxf>
      <font>
        <color theme="0"/>
      </font>
    </dxf>
    <dxf>
      <font>
        <color theme="0"/>
      </font>
      <fill>
        <patternFill>
          <bgColor theme="0"/>
        </patternFill>
      </fill>
    </dxf>
    <dxf>
      <font>
        <color theme="0"/>
      </font>
      <fill>
        <patternFill patternType="solid">
          <bgColor theme="0"/>
        </patternFill>
      </fill>
      <border>
        <right/>
        <top/>
        <bottom/>
        <vertical/>
        <horizontal/>
      </border>
    </dxf>
    <dxf>
      <font>
        <color theme="0"/>
      </font>
      <fill>
        <patternFill patternType="solid">
          <bgColor theme="0"/>
        </patternFill>
      </fill>
      <border>
        <right/>
        <bottom/>
        <vertical/>
        <horizontal/>
      </border>
    </dxf>
    <dxf>
      <font>
        <color rgb="FFFF0000"/>
      </font>
    </dxf>
    <dxf>
      <font>
        <color rgb="FFFF0000"/>
      </font>
    </dxf>
    <dxf>
      <font>
        <color rgb="FFFF0000"/>
      </font>
    </dxf>
    <dxf>
      <font>
        <b/>
        <i val="0"/>
        <color rgb="FFFF0000"/>
      </font>
    </dxf>
    <dxf>
      <font>
        <b/>
        <i val="0"/>
        <color rgb="FFFF000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ndense val="0"/>
        <extend val="0"/>
        <color indexed="10"/>
      </font>
    </dxf>
  </dxfs>
  <tableStyles count="0" defaultTableStyle="TableStyleMedium9" defaultPivotStyle="PivotStyleLight16"/>
  <colors>
    <mruColors>
      <color rgb="FFE8FCFE"/>
      <color rgb="FFC00000"/>
      <color rgb="FF99CC00"/>
      <color rgb="FFFF9900"/>
      <color rgb="FF0000FF"/>
      <color rgb="FFCC00FF"/>
      <color rgb="FFC0C0C0"/>
      <color rgb="FFFFFFCC"/>
      <color rgb="FFCCFF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Calculations'!$U$12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101.50811174328545</c:v>
                </c:pt>
                <c:pt idx="1">
                  <c:v>101.42267904357782</c:v>
                </c:pt>
                <c:pt idx="2">
                  <c:v>101.32215060808099</c:v>
                </c:pt>
                <c:pt idx="3">
                  <c:v>101.20429715626393</c:v>
                </c:pt>
                <c:pt idx="4">
                  <c:v>101.06681494883253</c:v>
                </c:pt>
                <c:pt idx="5">
                  <c:v>100.90693395564537</c:v>
                </c:pt>
                <c:pt idx="6">
                  <c:v>100.72226173271127</c:v>
                </c:pt>
                <c:pt idx="7">
                  <c:v>100.51009336423778</c:v>
                </c:pt>
                <c:pt idx="8">
                  <c:v>100.26811557124711</c:v>
                </c:pt>
                <c:pt idx="9">
                  <c:v>99.993897041755474</c:v>
                </c:pt>
                <c:pt idx="10">
                  <c:v>99.685676254953975</c:v>
                </c:pt>
                <c:pt idx="11">
                  <c:v>99.341957647154103</c:v>
                </c:pt>
                <c:pt idx="12">
                  <c:v>98.961607225334177</c:v>
                </c:pt>
                <c:pt idx="13">
                  <c:v>98.544657165122018</c:v>
                </c:pt>
                <c:pt idx="14">
                  <c:v>98.091067931339381</c:v>
                </c:pt>
                <c:pt idx="15">
                  <c:v>97.601883256584458</c:v>
                </c:pt>
                <c:pt idx="16">
                  <c:v>97.078491005847525</c:v>
                </c:pt>
                <c:pt idx="17">
                  <c:v>96.522848886576327</c:v>
                </c:pt>
                <c:pt idx="18">
                  <c:v>95.937017339929</c:v>
                </c:pt>
                <c:pt idx="19">
                  <c:v>95.3236047971007</c:v>
                </c:pt>
                <c:pt idx="20">
                  <c:v>94.685061923162635</c:v>
                </c:pt>
                <c:pt idx="21">
                  <c:v>94.024110502052807</c:v>
                </c:pt>
                <c:pt idx="22">
                  <c:v>93.343137479945653</c:v>
                </c:pt>
                <c:pt idx="23">
                  <c:v>92.644714033942392</c:v>
                </c:pt>
                <c:pt idx="24">
                  <c:v>91.930895864033104</c:v>
                </c:pt>
                <c:pt idx="25">
                  <c:v>91.203829206766912</c:v>
                </c:pt>
                <c:pt idx="26">
                  <c:v>90.46517266803356</c:v>
                </c:pt>
                <c:pt idx="27">
                  <c:v>89.716783189865367</c:v>
                </c:pt>
                <c:pt idx="28">
                  <c:v>88.960056553386252</c:v>
                </c:pt>
                <c:pt idx="29">
                  <c:v>88.196704220833126</c:v>
                </c:pt>
                <c:pt idx="30">
                  <c:v>87.426491874664137</c:v>
                </c:pt>
                <c:pt idx="31">
                  <c:v>86.65139280945931</c:v>
                </c:pt>
                <c:pt idx="32">
                  <c:v>85.87164437574495</c:v>
                </c:pt>
                <c:pt idx="33">
                  <c:v>85.08843978962696</c:v>
                </c:pt>
                <c:pt idx="34">
                  <c:v>84.301701576054029</c:v>
                </c:pt>
                <c:pt idx="35">
                  <c:v>83.512299602618313</c:v>
                </c:pt>
                <c:pt idx="36">
                  <c:v>82.720454457914315</c:v>
                </c:pt>
                <c:pt idx="37">
                  <c:v>81.926000109698066</c:v>
                </c:pt>
                <c:pt idx="38">
                  <c:v>81.129883408874107</c:v>
                </c:pt>
                <c:pt idx="39">
                  <c:v>80.331587353543057</c:v>
                </c:pt>
                <c:pt idx="40">
                  <c:v>79.531473831755648</c:v>
                </c:pt>
                <c:pt idx="41">
                  <c:v>78.729473138621771</c:v>
                </c:pt>
                <c:pt idx="42">
                  <c:v>77.925633129926752</c:v>
                </c:pt>
                <c:pt idx="43">
                  <c:v>77.119590576720881</c:v>
                </c:pt>
                <c:pt idx="44">
                  <c:v>76.31136527694116</c:v>
                </c:pt>
                <c:pt idx="45">
                  <c:v>75.500527040026583</c:v>
                </c:pt>
                <c:pt idx="46">
                  <c:v>74.686892613399309</c:v>
                </c:pt>
                <c:pt idx="47">
                  <c:v>73.869850801229632</c:v>
                </c:pt>
                <c:pt idx="48">
                  <c:v>73.049067150866392</c:v>
                </c:pt>
                <c:pt idx="49">
                  <c:v>72.223683988913237</c:v>
                </c:pt>
                <c:pt idx="50">
                  <c:v>71.393053408706834</c:v>
                </c:pt>
                <c:pt idx="51">
                  <c:v>70.556063549991407</c:v>
                </c:pt>
                <c:pt idx="52">
                  <c:v>69.711905526659578</c:v>
                </c:pt>
                <c:pt idx="53">
                  <c:v>68.85930100404309</c:v>
                </c:pt>
                <c:pt idx="54">
                  <c:v>67.997356641130281</c:v>
                </c:pt>
                <c:pt idx="55">
                  <c:v>67.122978181207188</c:v>
                </c:pt>
                <c:pt idx="56">
                  <c:v>66.235542552106992</c:v>
                </c:pt>
                <c:pt idx="57">
                  <c:v>65.332415819687299</c:v>
                </c:pt>
                <c:pt idx="58">
                  <c:v>64.41202879099545</c:v>
                </c:pt>
                <c:pt idx="59">
                  <c:v>63.471304360575587</c:v>
                </c:pt>
                <c:pt idx="60">
                  <c:v>62.508295230085352</c:v>
                </c:pt>
                <c:pt idx="61">
                  <c:v>61.520355453469165</c:v>
                </c:pt>
                <c:pt idx="62">
                  <c:v>60.504480504716938</c:v>
                </c:pt>
                <c:pt idx="63">
                  <c:v>59.459340302349695</c:v>
                </c:pt>
                <c:pt idx="64">
                  <c:v>58.382076220088493</c:v>
                </c:pt>
                <c:pt idx="65">
                  <c:v>57.271453442742683</c:v>
                </c:pt>
                <c:pt idx="66">
                  <c:v>56.12625252101823</c:v>
                </c:pt>
                <c:pt idx="67">
                  <c:v>54.946104141386122</c:v>
                </c:pt>
                <c:pt idx="68">
                  <c:v>53.730778296414734</c:v>
                </c:pt>
                <c:pt idx="69">
                  <c:v>52.481386128926758</c:v>
                </c:pt>
                <c:pt idx="70">
                  <c:v>51.199120982690303</c:v>
                </c:pt>
                <c:pt idx="71">
                  <c:v>49.886286677880577</c:v>
                </c:pt>
                <c:pt idx="72">
                  <c:v>48.545164016920268</c:v>
                </c:pt>
                <c:pt idx="73">
                  <c:v>47.179070114020838</c:v>
                </c:pt>
                <c:pt idx="74">
                  <c:v>45.790966471571515</c:v>
                </c:pt>
                <c:pt idx="75">
                  <c:v>44.384605230116811</c:v>
                </c:pt>
                <c:pt idx="76">
                  <c:v>42.963348971953621</c:v>
                </c:pt>
                <c:pt idx="77">
                  <c:v>41.53143590114513</c:v>
                </c:pt>
                <c:pt idx="78">
                  <c:v>40.092651079036692</c:v>
                </c:pt>
                <c:pt idx="79">
                  <c:v>38.651752620688349</c:v>
                </c:pt>
                <c:pt idx="80">
                  <c:v>37.210171865212061</c:v>
                </c:pt>
                <c:pt idx="81">
                  <c:v>35.773790058445378</c:v>
                </c:pt>
                <c:pt idx="82">
                  <c:v>34.345485388036927</c:v>
                </c:pt>
                <c:pt idx="83">
                  <c:v>32.930089690624122</c:v>
                </c:pt>
                <c:pt idx="84">
                  <c:v>31.530259372423487</c:v>
                </c:pt>
                <c:pt idx="85">
                  <c:v>30.150415826903348</c:v>
                </c:pt>
                <c:pt idx="86">
                  <c:v>28.793782695827247</c:v>
                </c:pt>
                <c:pt idx="87">
                  <c:v>27.462816924412312</c:v>
                </c:pt>
                <c:pt idx="88">
                  <c:v>26.161587820356566</c:v>
                </c:pt>
                <c:pt idx="89">
                  <c:v>24.89137294891988</c:v>
                </c:pt>
                <c:pt idx="90">
                  <c:v>23.654435020329572</c:v>
                </c:pt>
                <c:pt idx="91">
                  <c:v>22.451800311764543</c:v>
                </c:pt>
                <c:pt idx="92">
                  <c:v>21.284086291366741</c:v>
                </c:pt>
                <c:pt idx="93">
                  <c:v>20.150727017626213</c:v>
                </c:pt>
                <c:pt idx="94">
                  <c:v>19.872809485194466</c:v>
                </c:pt>
                <c:pt idx="95">
                  <c:v>19.733780460912623</c:v>
                </c:pt>
                <c:pt idx="96">
                  <c:v>19.596859335287895</c:v>
                </c:pt>
                <c:pt idx="97">
                  <c:v>19.458887310335101</c:v>
                </c:pt>
                <c:pt idx="98">
                  <c:v>19.323005121997532</c:v>
                </c:pt>
                <c:pt idx="99">
                  <c:v>19.186043660822051</c:v>
                </c:pt>
                <c:pt idx="100">
                  <c:v>19.051154644265782</c:v>
                </c:pt>
                <c:pt idx="101">
                  <c:v>18.915262610748879</c:v>
                </c:pt>
                <c:pt idx="102">
                  <c:v>18.781423142870711</c:v>
                </c:pt>
                <c:pt idx="103">
                  <c:v>18.646456289975209</c:v>
                </c:pt>
                <c:pt idx="104">
                  <c:v>18.513525738961444</c:v>
                </c:pt>
                <c:pt idx="105">
                  <c:v>18.379545230521877</c:v>
                </c:pt>
                <c:pt idx="106">
                  <c:v>18.24758222834976</c:v>
                </c:pt>
                <c:pt idx="107">
                  <c:v>18.114641272751257</c:v>
                </c:pt>
                <c:pt idx="108">
                  <c:v>17.983696752424322</c:v>
                </c:pt>
                <c:pt idx="109">
                  <c:v>17.851752003632186</c:v>
                </c:pt>
                <c:pt idx="110">
                  <c:v>17.721783243874118</c:v>
                </c:pt>
                <c:pt idx="111">
                  <c:v>17.590708552331783</c:v>
                </c:pt>
                <c:pt idx="112">
                  <c:v>17.461592497976874</c:v>
                </c:pt>
                <c:pt idx="113">
                  <c:v>17.331443150267305</c:v>
                </c:pt>
                <c:pt idx="114">
                  <c:v>17.203232806865032</c:v>
                </c:pt>
                <c:pt idx="115">
                  <c:v>17.073975235037107</c:v>
                </c:pt>
                <c:pt idx="116">
                  <c:v>16.946637407028042</c:v>
                </c:pt>
                <c:pt idx="117">
                  <c:v>16.818240758022661</c:v>
                </c:pt>
                <c:pt idx="118">
                  <c:v>16.691744899143941</c:v>
                </c:pt>
                <c:pt idx="119">
                  <c:v>16.564257496546272</c:v>
                </c:pt>
                <c:pt idx="120">
                  <c:v>16.438649932101839</c:v>
                </c:pt>
                <c:pt idx="121">
                  <c:v>16.312038831105891</c:v>
                </c:pt>
                <c:pt idx="122">
                  <c:v>16.187287029248193</c:v>
                </c:pt>
                <c:pt idx="123">
                  <c:v>16.061449363887707</c:v>
                </c:pt>
                <c:pt idx="124">
                  <c:v>15.937452919679929</c:v>
                </c:pt>
                <c:pt idx="125">
                  <c:v>15.812436840515872</c:v>
                </c:pt>
                <c:pt idx="126">
                  <c:v>15.689241987792052</c:v>
                </c:pt>
                <c:pt idx="127">
                  <c:v>15.565020890634852</c:v>
                </c:pt>
                <c:pt idx="128">
                  <c:v>15.442601305271303</c:v>
                </c:pt>
                <c:pt idx="129">
                  <c:v>15.319150372484746</c:v>
                </c:pt>
                <c:pt idx="130">
                  <c:v>15.197481483474499</c:v>
                </c:pt>
                <c:pt idx="131">
                  <c:v>15.074777511643958</c:v>
                </c:pt>
                <c:pt idx="132">
                  <c:v>15.014089688151541</c:v>
                </c:pt>
                <c:pt idx="133">
                  <c:v>14.95383633424222</c:v>
                </c:pt>
                <c:pt idx="134">
                  <c:v>14.892594390972558</c:v>
                </c:pt>
                <c:pt idx="135">
                  <c:v>14.831795059822184</c:v>
                </c:pt>
                <c:pt idx="136">
                  <c:v>14.771432076724258</c:v>
                </c:pt>
                <c:pt idx="137">
                  <c:v>14.711499301559225</c:v>
                </c:pt>
                <c:pt idx="138">
                  <c:v>14.650644521222855</c:v>
                </c:pt>
                <c:pt idx="139">
                  <c:v>14.590227099071257</c:v>
                </c:pt>
                <c:pt idx="140">
                  <c:v>14.530240849831834</c:v>
                </c:pt>
                <c:pt idx="141">
                  <c:v>14.470679710881829</c:v>
                </c:pt>
                <c:pt idx="142">
                  <c:v>14.410140320614914</c:v>
                </c:pt>
                <c:pt idx="143">
                  <c:v>14.350033964310409</c:v>
                </c:pt>
                <c:pt idx="144">
                  <c:v>14.290354517585653</c:v>
                </c:pt>
                <c:pt idx="145">
                  <c:v>14.231095977846696</c:v>
                </c:pt>
                <c:pt idx="146">
                  <c:v>14.170894274812447</c:v>
                </c:pt>
                <c:pt idx="147">
                  <c:v>14.111120868574968</c:v>
                </c:pt>
                <c:pt idx="148">
                  <c:v>14.051769706048304</c:v>
                </c:pt>
                <c:pt idx="149">
                  <c:v>13.992834854764221</c:v>
                </c:pt>
                <c:pt idx="150">
                  <c:v>13.932962145243156</c:v>
                </c:pt>
                <c:pt idx="151">
                  <c:v>13.873513031105409</c:v>
                </c:pt>
                <c:pt idx="152">
                  <c:v>13.814481531422128</c:v>
                </c:pt>
                <c:pt idx="153">
                  <c:v>13.755861784652694</c:v>
                </c:pt>
                <c:pt idx="154">
                  <c:v>13.696282511050654</c:v>
                </c:pt>
                <c:pt idx="155">
                  <c:v>13.637122548503607</c:v>
                </c:pt>
                <c:pt idx="156">
                  <c:v>13.578375980982981</c:v>
                </c:pt>
                <c:pt idx="157">
                  <c:v>13.520037010776536</c:v>
                </c:pt>
                <c:pt idx="158">
                  <c:v>13.460745586104711</c:v>
                </c:pt>
                <c:pt idx="159">
                  <c:v>13.401869185298169</c:v>
                </c:pt>
                <c:pt idx="160">
                  <c:v>13.34340195876287</c:v>
                </c:pt>
                <c:pt idx="161">
                  <c:v>13.285338174074317</c:v>
                </c:pt>
                <c:pt idx="162">
                  <c:v>13.22635505152406</c:v>
                </c:pt>
                <c:pt idx="163">
                  <c:v>13.167782306397886</c:v>
                </c:pt>
                <c:pt idx="164">
                  <c:v>13.109614164497343</c:v>
                </c:pt>
                <c:pt idx="165">
                  <c:v>13.051844967373862</c:v>
                </c:pt>
                <c:pt idx="166">
                  <c:v>12.993112613528993</c:v>
                </c:pt>
                <c:pt idx="167">
                  <c:v>12.934786717733786</c:v>
                </c:pt>
                <c:pt idx="168">
                  <c:v>12.876861567215423</c:v>
                </c:pt>
                <c:pt idx="169">
                  <c:v>12.819331563870227</c:v>
                </c:pt>
                <c:pt idx="170">
                  <c:v>12.7609692644614</c:v>
                </c:pt>
                <c:pt idx="171">
                  <c:v>12.703007799477648</c:v>
                </c:pt>
                <c:pt idx="172">
                  <c:v>12.645441554560378</c:v>
                </c:pt>
                <c:pt idx="173">
                  <c:v>12.588265027920325</c:v>
                </c:pt>
                <c:pt idx="174">
                  <c:v>12.530046011570606</c:v>
                </c:pt>
                <c:pt idx="175">
                  <c:v>12.472225250307492</c:v>
                </c:pt>
                <c:pt idx="176">
                  <c:v>12.414797165567045</c:v>
                </c:pt>
                <c:pt idx="177">
                  <c:v>12.357756290893185</c:v>
                </c:pt>
                <c:pt idx="178">
                  <c:v>12.299708779938607</c:v>
                </c:pt>
                <c:pt idx="179">
                  <c:v>12.242056486504387</c:v>
                </c:pt>
                <c:pt idx="180">
                  <c:v>12.184793878532204</c:v>
                </c:pt>
                <c:pt idx="181">
                  <c:v>12.127915535295788</c:v>
                </c:pt>
                <c:pt idx="182">
                  <c:v>12.070289986109357</c:v>
                </c:pt>
                <c:pt idx="183">
                  <c:v>12.013053175318337</c:v>
                </c:pt>
                <c:pt idx="184">
                  <c:v>11.956199690237032</c:v>
                </c:pt>
                <c:pt idx="185">
                  <c:v>11.899724226759812</c:v>
                </c:pt>
                <c:pt idx="186">
                  <c:v>11.842086722960074</c:v>
                </c:pt>
                <c:pt idx="187">
                  <c:v>11.784837267685258</c:v>
                </c:pt>
                <c:pt idx="188">
                  <c:v>11.727970447886499</c:v>
                </c:pt>
                <c:pt idx="189">
                  <c:v>11.671480959512266</c:v>
                </c:pt>
                <c:pt idx="190">
                  <c:v>11.614296247965237</c:v>
                </c:pt>
                <c:pt idx="191">
                  <c:v>11.55749261877258</c:v>
                </c:pt>
                <c:pt idx="192">
                  <c:v>11.501064789971354</c:v>
                </c:pt>
                <c:pt idx="193">
                  <c:v>11.44500758547597</c:v>
                </c:pt>
                <c:pt idx="194">
                  <c:v>11.3878607236656</c:v>
                </c:pt>
                <c:pt idx="195">
                  <c:v>11.331093459982039</c:v>
                </c:pt>
                <c:pt idx="196">
                  <c:v>11.274700530529396</c:v>
                </c:pt>
                <c:pt idx="197">
                  <c:v>11.218676777159043</c:v>
                </c:pt>
                <c:pt idx="198">
                  <c:v>11.161802357151828</c:v>
                </c:pt>
                <c:pt idx="199">
                  <c:v>11.105302893688119</c:v>
                </c:pt>
                <c:pt idx="200">
                  <c:v>11.049173207068065</c:v>
                </c:pt>
                <c:pt idx="201">
                  <c:v>10.993408221420991</c:v>
                </c:pt>
                <c:pt idx="202">
                  <c:v>10.936819607133357</c:v>
                </c:pt>
                <c:pt idx="203">
                  <c:v>10.880601106176879</c:v>
                </c:pt>
                <c:pt idx="204">
                  <c:v>10.824747627716899</c:v>
                </c:pt>
                <c:pt idx="205">
                  <c:v>10.769254182683854</c:v>
                </c:pt>
                <c:pt idx="206">
                  <c:v>10.712770754085259</c:v>
                </c:pt>
                <c:pt idx="207">
                  <c:v>10.656654914059613</c:v>
                </c:pt>
                <c:pt idx="208">
                  <c:v>10.600901613494072</c:v>
                </c:pt>
                <c:pt idx="209">
                  <c:v>10.54550590420844</c:v>
                </c:pt>
                <c:pt idx="210">
                  <c:v>10.488964958470657</c:v>
                </c:pt>
                <c:pt idx="211">
                  <c:v>10.432791127101833</c:v>
                </c:pt>
                <c:pt idx="212">
                  <c:v>10.376979361179492</c:v>
                </c:pt>
                <c:pt idx="213">
                  <c:v>10.321524712965367</c:v>
                </c:pt>
                <c:pt idx="214">
                  <c:v>10.265327495249942</c:v>
                </c:pt>
                <c:pt idx="215">
                  <c:v>10.209491688175188</c:v>
                </c:pt>
                <c:pt idx="216">
                  <c:v>10.15401235080137</c:v>
                </c:pt>
                <c:pt idx="217">
                  <c:v>10.098884640739254</c:v>
                </c:pt>
                <c:pt idx="218">
                  <c:v>10.042858745400894</c:v>
                </c:pt>
                <c:pt idx="219">
                  <c:v>9.9871907530459012</c:v>
                </c:pt>
                <c:pt idx="220">
                  <c:v>9.9318757860215801</c:v>
                </c:pt>
                <c:pt idx="221">
                  <c:v>9.8769090637627066</c:v>
                </c:pt>
                <c:pt idx="222">
                  <c:v>9.8210720658351445</c:v>
                </c:pt>
                <c:pt idx="223">
                  <c:v>9.7655892087871372</c:v>
                </c:pt>
                <c:pt idx="224">
                  <c:v>9.7104556837220706</c:v>
                </c:pt>
                <c:pt idx="225">
                  <c:v>9.6556667772073883</c:v>
                </c:pt>
                <c:pt idx="226">
                  <c:v>9.599865189755894</c:v>
                </c:pt>
                <c:pt idx="227">
                  <c:v>9.5444158831130537</c:v>
                </c:pt>
                <c:pt idx="228">
                  <c:v>9.4893140788175927</c:v>
                </c:pt>
                <c:pt idx="229">
                  <c:v>9.4345550932446791</c:v>
                </c:pt>
                <c:pt idx="230">
                  <c:v>9.3234253633025901</c:v>
                </c:pt>
                <c:pt idx="231">
                  <c:v>9.2683808184980734</c:v>
                </c:pt>
                <c:pt idx="232">
                  <c:v>9.2136769277850288</c:v>
                </c:pt>
                <c:pt idx="233">
                  <c:v>9.158022553876398</c:v>
                </c:pt>
                <c:pt idx="234">
                  <c:v>9.102715636841932</c:v>
                </c:pt>
                <c:pt idx="235">
                  <c:v>9.0477514823106979</c:v>
                </c:pt>
                <c:pt idx="236">
                  <c:v>8.9931254888364727</c:v>
                </c:pt>
                <c:pt idx="237">
                  <c:v>8.9377349842738045</c:v>
                </c:pt>
                <c:pt idx="238">
                  <c:v>8.8826871104233369</c:v>
                </c:pt>
                <c:pt idx="239">
                  <c:v>8.827977263849716</c:v>
                </c:pt>
                <c:pt idx="240">
                  <c:v>8.7736009317847472</c:v>
                </c:pt>
                <c:pt idx="241">
                  <c:v>8.7181760761789189</c:v>
                </c:pt>
                <c:pt idx="242">
                  <c:v>8.6630926760737736</c:v>
                </c:pt>
                <c:pt idx="243">
                  <c:v>8.6083461456301258</c:v>
                </c:pt>
                <c:pt idx="244">
                  <c:v>8.5539319893303087</c:v>
                </c:pt>
                <c:pt idx="245">
                  <c:v>8.4986508950862376</c:v>
                </c:pt>
                <c:pt idx="246">
                  <c:v>8.4437078502339116</c:v>
                </c:pt>
                <c:pt idx="247">
                  <c:v>8.3890983313868102</c:v>
                </c:pt>
                <c:pt idx="248">
                  <c:v>8.3348179039508121</c:v>
                </c:pt>
                <c:pt idx="249">
                  <c:v>8.2795502483057302</c:v>
                </c:pt>
                <c:pt idx="250">
                  <c:v>8.2246187882967607</c:v>
                </c:pt>
                <c:pt idx="251">
                  <c:v>8.1700190319555013</c:v>
                </c:pt>
                <c:pt idx="252">
                  <c:v>8.115746575378477</c:v>
                </c:pt>
                <c:pt idx="253">
                  <c:v>8.0606587717867555</c:v>
                </c:pt>
                <c:pt idx="254">
                  <c:v>8.0059032578441656</c:v>
                </c:pt>
                <c:pt idx="255">
                  <c:v>7.9514756139297766</c:v>
                </c:pt>
                <c:pt idx="256">
                  <c:v>7.8973715066879393</c:v>
                </c:pt>
                <c:pt idx="257">
                  <c:v>7.8421975031184976</c:v>
                </c:pt>
                <c:pt idx="258">
                  <c:v>7.7873550463452546</c:v>
                </c:pt>
                <c:pt idx="259">
                  <c:v>7.7328397261148201</c:v>
                </c:pt>
                <c:pt idx="260">
                  <c:v>7.6786472182682877</c:v>
                </c:pt>
                <c:pt idx="261">
                  <c:v>7.6235525445739674</c:v>
                </c:pt>
                <c:pt idx="262">
                  <c:v>7.5687866408273905</c:v>
                </c:pt>
                <c:pt idx="263">
                  <c:v>7.5143451465515412</c:v>
                </c:pt>
                <c:pt idx="264">
                  <c:v>7.4602237861388261</c:v>
                </c:pt>
                <c:pt idx="265">
                  <c:v>7.4052262475213562</c:v>
                </c:pt>
                <c:pt idx="266">
                  <c:v>7.3505544563288758</c:v>
                </c:pt>
                <c:pt idx="267">
                  <c:v>7.2962041066011984</c:v>
                </c:pt>
                <c:pt idx="268">
                  <c:v>7.242170975896844</c:v>
                </c:pt>
                <c:pt idx="269">
                  <c:v>7.1871571757550212</c:v>
                </c:pt>
                <c:pt idx="270">
                  <c:v>7.1324673988935423</c:v>
                </c:pt>
                <c:pt idx="271">
                  <c:v>7.078097368095186</c:v>
                </c:pt>
                <c:pt idx="272">
                  <c:v>7.0240428889720627</c:v>
                </c:pt>
                <c:pt idx="273">
                  <c:v>6.9690360495271584</c:v>
                </c:pt>
                <c:pt idx="274">
                  <c:v>6.9143511858067672</c:v>
                </c:pt>
                <c:pt idx="275">
                  <c:v>6.8599840556266454</c:v>
                </c:pt>
                <c:pt idx="276">
                  <c:v>6.8059304987771565</c:v>
                </c:pt>
                <c:pt idx="277">
                  <c:v>6.7510751736073598</c:v>
                </c:pt>
                <c:pt idx="278">
                  <c:v>6.6965380551150151</c:v>
                </c:pt>
                <c:pt idx="279">
                  <c:v>6.6423149698347652</c:v>
                </c:pt>
                <c:pt idx="280">
                  <c:v>6.5884018245568567</c:v>
                </c:pt>
                <c:pt idx="281">
                  <c:v>6.5333467084712602</c:v>
                </c:pt>
                <c:pt idx="282">
                  <c:v>6.4786100495818211</c:v>
                </c:pt>
                <c:pt idx="283">
                  <c:v>6.4241876640831155</c:v>
                </c:pt>
                <c:pt idx="284">
                  <c:v>6.3700754487281213</c:v>
                </c:pt>
                <c:pt idx="285">
                  <c:v>6.3152081436607341</c:v>
                </c:pt>
                <c:pt idx="286">
                  <c:v>6.2606550289204757</c:v>
                </c:pt>
                <c:pt idx="287">
                  <c:v>6.2064119987835467</c:v>
                </c:pt>
                <c:pt idx="288">
                  <c:v>6.1524750261281032</c:v>
                </c:pt>
                <c:pt idx="289">
                  <c:v>6.0974570245612183</c:v>
                </c:pt>
                <c:pt idx="290">
                  <c:v>6.0427527752511034</c:v>
                </c:pt>
                <c:pt idx="291">
                  <c:v>5.9883581754585027</c:v>
                </c:pt>
                <c:pt idx="292">
                  <c:v>5.9342692010045592</c:v>
                </c:pt>
                <c:pt idx="293">
                  <c:v>5.8792424558451959</c:v>
                </c:pt>
                <c:pt idx="294">
                  <c:v>5.8245273461160982</c:v>
                </c:pt>
                <c:pt idx="295">
                  <c:v>5.7701198047216415</c:v>
                </c:pt>
                <c:pt idx="296">
                  <c:v>5.7160158422544507</c:v>
                </c:pt>
                <c:pt idx="297">
                  <c:v>5.6609996836196483</c:v>
                </c:pt>
                <c:pt idx="298">
                  <c:v>5.6062927755626131</c:v>
                </c:pt>
                <c:pt idx="299">
                  <c:v>5.5518910916732445</c:v>
                </c:pt>
                <c:pt idx="300">
                  <c:v>5.4977906822321945</c:v>
                </c:pt>
                <c:pt idx="301">
                  <c:v>5.4428025804063207</c:v>
                </c:pt>
                <c:pt idx="302">
                  <c:v>5.388121102816303</c:v>
                </c:pt>
                <c:pt idx="303">
                  <c:v>5.3337422682291677</c:v>
                </c:pt>
                <c:pt idx="304">
                  <c:v>5.2796621709955991</c:v>
                </c:pt>
                <c:pt idx="305">
                  <c:v>5.2245071193303474</c:v>
                </c:pt>
                <c:pt idx="306">
                  <c:v>5.1696581750255461</c:v>
                </c:pt>
                <c:pt idx="307">
                  <c:v>5.115111360892092</c:v>
                </c:pt>
                <c:pt idx="308">
                  <c:v>5.0608627752589852</c:v>
                </c:pt>
                <c:pt idx="309">
                  <c:v>5.0057747644312904</c:v>
                </c:pt>
                <c:pt idx="310">
                  <c:v>4.9509896947748047</c:v>
                </c:pt>
                <c:pt idx="311">
                  <c:v>4.8965036443961187</c:v>
                </c:pt>
                <c:pt idx="312">
                  <c:v>4.8423127655662874</c:v>
                </c:pt>
                <c:pt idx="313">
                  <c:v>4.7871022702533548</c:v>
                </c:pt>
                <c:pt idx="314">
                  <c:v>4.7321935774319215</c:v>
                </c:pt>
                <c:pt idx="315">
                  <c:v>4.6775827810647339</c:v>
                </c:pt>
                <c:pt idx="316">
                  <c:v>4.6232660489227078</c:v>
                </c:pt>
                <c:pt idx="317">
                  <c:v>4.567956785025939</c:v>
                </c:pt>
                <c:pt idx="318">
                  <c:v>4.5129478548669821</c:v>
                </c:pt>
                <c:pt idx="319">
                  <c:v>4.45823537452981</c:v>
                </c:pt>
                <c:pt idx="320">
                  <c:v>4.4038155333974531</c:v>
                </c:pt>
                <c:pt idx="321">
                  <c:v>4.3484291410832281</c:v>
                </c:pt>
                <c:pt idx="322">
                  <c:v>4.2933413119952855</c:v>
                </c:pt>
                <c:pt idx="323">
                  <c:v>4.2385481900591353</c:v>
                </c:pt>
                <c:pt idx="324">
                  <c:v>4.1840459918524289</c:v>
                </c:pt>
                <c:pt idx="325">
                  <c:v>4.1286021552670027</c:v>
                </c:pt>
                <c:pt idx="326">
                  <c:v>4.073454836770936</c:v>
                </c:pt>
                <c:pt idx="327">
                  <c:v>4.0186002133273266</c:v>
                </c:pt>
                <c:pt idx="328">
                  <c:v>3.9640345337810152</c:v>
                </c:pt>
                <c:pt idx="329">
                  <c:v>3.9084585636551838</c:v>
                </c:pt>
                <c:pt idx="330">
                  <c:v>3.8531777962122571</c:v>
                </c:pt>
                <c:pt idx="331">
                  <c:v>3.7981884273066591</c:v>
                </c:pt>
                <c:pt idx="332">
                  <c:v>3.7434867242647076</c:v>
                </c:pt>
                <c:pt idx="333">
                  <c:v>3.6878911273243613</c:v>
                </c:pt>
                <c:pt idx="334">
                  <c:v>3.6325881612721993</c:v>
                </c:pt>
                <c:pt idx="335">
                  <c:v>3.5775740649855789</c:v>
                </c:pt>
                <c:pt idx="336">
                  <c:v>3.5228451478094467</c:v>
                </c:pt>
                <c:pt idx="337">
                  <c:v>3.4670667984771493</c:v>
                </c:pt>
                <c:pt idx="338">
                  <c:v>3.4115801557443319</c:v>
                </c:pt>
                <c:pt idx="339">
                  <c:v>3.3563814698061032</c:v>
                </c:pt>
                <c:pt idx="340">
                  <c:v>3.3014670611190922</c:v>
                </c:pt>
                <c:pt idx="341">
                  <c:v>3.2455296994963949</c:v>
                </c:pt>
                <c:pt idx="342">
                  <c:v>3.189882790239384</c:v>
                </c:pt>
                <c:pt idx="343">
                  <c:v>3.1345226012183587</c:v>
                </c:pt>
                <c:pt idx="344">
                  <c:v>3.0794454702089502</c:v>
                </c:pt>
                <c:pt idx="345">
                  <c:v>3.0234559254339199</c:v>
                </c:pt>
                <c:pt idx="346">
                  <c:v>2.9677544036632506</c:v>
                </c:pt>
                <c:pt idx="347">
                  <c:v>2.9123372130446978</c:v>
                </c:pt>
                <c:pt idx="348">
                  <c:v>2.857200730721984</c:v>
                </c:pt>
                <c:pt idx="349">
                  <c:v>2.8010068015173264</c:v>
                </c:pt>
                <c:pt idx="350">
                  <c:v>2.7450999592039715</c:v>
                </c:pt>
                <c:pt idx="351">
                  <c:v>2.689476523656178</c:v>
                </c:pt>
                <c:pt idx="352">
                  <c:v>2.6341328835539586</c:v>
                </c:pt>
                <c:pt idx="353">
                  <c:v>2.5777577046745028</c:v>
                </c:pt>
                <c:pt idx="354">
                  <c:v>2.5216683564322535</c:v>
                </c:pt>
                <c:pt idx="355">
                  <c:v>2.4658611766991654</c:v>
                </c:pt>
                <c:pt idx="356">
                  <c:v>2.410332571816773</c:v>
                </c:pt>
                <c:pt idx="357">
                  <c:v>2.3538773965013968</c:v>
                </c:pt>
                <c:pt idx="358">
                  <c:v>2.2977057012215898</c:v>
                </c:pt>
                <c:pt idx="359">
                  <c:v>2.241813862967363</c:v>
                </c:pt>
                <c:pt idx="360">
                  <c:v>2.186198326347923</c:v>
                </c:pt>
                <c:pt idx="361">
                  <c:v>2.1295206495404058</c:v>
                </c:pt>
                <c:pt idx="362">
                  <c:v>2.0731254603543228</c:v>
                </c:pt>
                <c:pt idx="363">
                  <c:v>2.0170091491531372</c:v>
                </c:pt>
                <c:pt idx="364">
                  <c:v>1.9611681737186906</c:v>
                </c:pt>
                <c:pt idx="365">
                  <c:v>1.9043672499115847</c:v>
                </c:pt>
                <c:pt idx="366">
                  <c:v>1.847846758507725</c:v>
                </c:pt>
                <c:pt idx="367">
                  <c:v>1.7916031238203203</c:v>
                </c:pt>
                <c:pt idx="368">
                  <c:v>1.7356328368804521</c:v>
                </c:pt>
                <c:pt idx="369">
                  <c:v>1.6785735686620227</c:v>
                </c:pt>
                <c:pt idx="370">
                  <c:v>1.6217939342196086</c:v>
                </c:pt>
                <c:pt idx="371">
                  <c:v>1.5652903681904793</c:v>
                </c:pt>
                <c:pt idx="372">
                  <c:v>1.5090593718266647</c:v>
                </c:pt>
                <c:pt idx="373">
                  <c:v>1.4518388479466868</c:v>
                </c:pt>
                <c:pt idx="374">
                  <c:v>1.3948961304588625</c:v>
                </c:pt>
                <c:pt idx="375">
                  <c:v>1.3382276843340304</c:v>
                </c:pt>
                <c:pt idx="376">
                  <c:v>1.2818300405693281</c:v>
                </c:pt>
                <c:pt idx="377">
                  <c:v>1.2243199063396188</c:v>
                </c:pt>
                <c:pt idx="378">
                  <c:v>1.1670869176488643</c:v>
                </c:pt>
                <c:pt idx="379">
                  <c:v>1.1101275480724173</c:v>
                </c:pt>
                <c:pt idx="380">
                  <c:v>1.053438337174786</c:v>
                </c:pt>
                <c:pt idx="381">
                  <c:v>0.99580464216548692</c:v>
                </c:pt>
                <c:pt idx="382">
                  <c:v>0.93844576216386477</c:v>
                </c:pt>
                <c:pt idx="383">
                  <c:v>0.88135821162235672</c:v>
                </c:pt>
                <c:pt idx="384">
                  <c:v>0.82453857015460874</c:v>
                </c:pt>
                <c:pt idx="385">
                  <c:v>0.76658519895165766</c:v>
                </c:pt>
                <c:pt idx="386">
                  <c:v>0.70890611067750453</c:v>
                </c:pt>
                <c:pt idx="387">
                  <c:v>0.65149782713540549</c:v>
                </c:pt>
                <c:pt idx="388">
                  <c:v>0.59435693530685318</c:v>
                </c:pt>
                <c:pt idx="389">
                  <c:v>0.53617643916942137</c:v>
                </c:pt>
                <c:pt idx="390">
                  <c:v>0.47826873910217182</c:v>
                </c:pt>
                <c:pt idx="391">
                  <c:v>0.42063038305393152</c:v>
                </c:pt>
                <c:pt idx="392">
                  <c:v>0.3632579837124843</c:v>
                </c:pt>
                <c:pt idx="393">
                  <c:v>0.30486859994533905</c:v>
                </c:pt>
                <c:pt idx="394">
                  <c:v>0.24675029168870249</c:v>
                </c:pt>
                <c:pt idx="395">
                  <c:v>0.1888996381950348</c:v>
                </c:pt>
                <c:pt idx="396">
                  <c:v>0.13131328289835761</c:v>
                </c:pt>
                <c:pt idx="397">
                  <c:v>7.2599436082556146E-2</c:v>
                </c:pt>
                <c:pt idx="398">
                  <c:v>1.4155947465395481E-2</c:v>
                </c:pt>
                <c:pt idx="399">
                  <c:v>-4.4020590492995448E-2</c:v>
                </c:pt>
                <c:pt idx="400">
                  <c:v>-0.10193352124649629</c:v>
                </c:pt>
                <c:pt idx="401">
                  <c:v>-0.1608845595173487</c:v>
                </c:pt>
                <c:pt idx="402">
                  <c:v>-0.21956682785513981</c:v>
                </c:pt>
                <c:pt idx="403">
                  <c:v>-0.2779837032615276</c:v>
                </c:pt>
                <c:pt idx="404">
                  <c:v>-0.3361384991710652</c:v>
                </c:pt>
                <c:pt idx="405">
                  <c:v>-0.395373382935722</c:v>
                </c:pt>
                <c:pt idx="406">
                  <c:v>-0.45434071779302149</c:v>
                </c:pt>
                <c:pt idx="407">
                  <c:v>-0.51304385613253967</c:v>
                </c:pt>
                <c:pt idx="408">
                  <c:v>-0.57148608713893556</c:v>
                </c:pt>
                <c:pt idx="409">
                  <c:v>-0.63104839725966344</c:v>
                </c:pt>
                <c:pt idx="410">
                  <c:v>-0.69034404882435285</c:v>
                </c:pt>
                <c:pt idx="411">
                  <c:v>-0.74937637472212892</c:v>
                </c:pt>
                <c:pt idx="412">
                  <c:v>-0.80814864486344673</c:v>
                </c:pt>
                <c:pt idx="413">
                  <c:v>-0.86801756873655189</c:v>
                </c:pt>
                <c:pt idx="414">
                  <c:v>-0.92762097019110479</c:v>
                </c:pt>
                <c:pt idx="415">
                  <c:v>-0.9869621568594561</c:v>
                </c:pt>
                <c:pt idx="416">
                  <c:v>-1.046044373759492</c:v>
                </c:pt>
                <c:pt idx="417">
                  <c:v>-1.1062611463275902</c:v>
                </c:pt>
                <c:pt idx="418">
                  <c:v>-1.1662132225409825</c:v>
                </c:pt>
                <c:pt idx="419">
                  <c:v>-1.2259038893137129</c:v>
                </c:pt>
                <c:pt idx="420">
                  <c:v>-1.2853363711905141</c:v>
                </c:pt>
                <c:pt idx="421">
                  <c:v>-1.3458207337055947</c:v>
                </c:pt>
                <c:pt idx="422">
                  <c:v>-1.4060419754683895</c:v>
                </c:pt>
                <c:pt idx="423">
                  <c:v>-1.4660033474951806</c:v>
                </c:pt>
                <c:pt idx="424">
                  <c:v>-1.5257080390583286</c:v>
                </c:pt>
                <c:pt idx="425">
                  <c:v>-1.5866188817127804</c:v>
                </c:pt>
                <c:pt idx="426">
                  <c:v>-1.6472668429161299</c:v>
                </c:pt>
                <c:pt idx="427">
                  <c:v>-1.7076551611243429</c:v>
                </c:pt>
                <c:pt idx="428">
                  <c:v>-1.7677870130847273</c:v>
                </c:pt>
                <c:pt idx="429">
                  <c:v>-1.8290430361680894</c:v>
                </c:pt>
                <c:pt idx="430">
                  <c:v>-1.8900371662461315</c:v>
                </c:pt>
                <c:pt idx="431">
                  <c:v>-1.9507726139530375</c:v>
                </c:pt>
                <c:pt idx="432">
                  <c:v>-2.0112525286372556</c:v>
                </c:pt>
                <c:pt idx="433">
                  <c:v>-2.072834353751547</c:v>
                </c:pt>
                <c:pt idx="434">
                  <c:v>-2.1341554692923914</c:v>
                </c:pt>
                <c:pt idx="435">
                  <c:v>-2.1952190530843279</c:v>
                </c:pt>
                <c:pt idx="436">
                  <c:v>-2.2560282222212455</c:v>
                </c:pt>
                <c:pt idx="437">
                  <c:v>-2.3180288118834871</c:v>
                </c:pt>
                <c:pt idx="438">
                  <c:v>-2.379769118184238</c:v>
                </c:pt>
                <c:pt idx="439">
                  <c:v>-2.4412522984566363</c:v>
                </c:pt>
                <c:pt idx="440">
                  <c:v>-2.5024814495538945</c:v>
                </c:pt>
                <c:pt idx="441">
                  <c:v>-2.5648785510642824</c:v>
                </c:pt>
                <c:pt idx="442">
                  <c:v>-2.6270160120499049</c:v>
                </c:pt>
                <c:pt idx="443">
                  <c:v>-2.6888969638678168</c:v>
                </c:pt>
                <c:pt idx="444">
                  <c:v>-2.7505244777976641</c:v>
                </c:pt>
                <c:pt idx="445">
                  <c:v>-2.8132972730937249</c:v>
                </c:pt>
                <c:pt idx="446">
                  <c:v>-2.8758112614935887</c:v>
                </c:pt>
                <c:pt idx="447">
                  <c:v>-2.9380695434429471</c:v>
                </c:pt>
                <c:pt idx="448">
                  <c:v>-3.0000751598555131</c:v>
                </c:pt>
                <c:pt idx="449">
                  <c:v>-3.0633097697928053</c:v>
                </c:pt>
                <c:pt idx="450">
                  <c:v>-3.1262857129015496</c:v>
                </c:pt>
                <c:pt idx="451">
                  <c:v>-3.1890060696255871</c:v>
                </c:pt>
                <c:pt idx="452">
                  <c:v>-3.2514738611657004</c:v>
                </c:pt>
                <c:pt idx="453">
                  <c:v>-3.3150949568379176</c:v>
                </c:pt>
                <c:pt idx="454">
                  <c:v>-3.3784581519413526</c:v>
                </c:pt>
                <c:pt idx="455">
                  <c:v>-3.4415664942969588</c:v>
                </c:pt>
                <c:pt idx="456">
                  <c:v>-3.5044229731215477</c:v>
                </c:pt>
                <c:pt idx="457">
                  <c:v>-3.5685132967826072</c:v>
                </c:pt>
                <c:pt idx="458">
                  <c:v>-3.6323458187717863</c:v>
                </c:pt>
                <c:pt idx="459">
                  <c:v>-3.6959235647014683</c:v>
                </c:pt>
                <c:pt idx="460">
                  <c:v>-3.7592495019865013</c:v>
                </c:pt>
                <c:pt idx="461">
                  <c:v>-3.823785829990002</c:v>
                </c:pt>
                <c:pt idx="462">
                  <c:v>-3.8880646442704254</c:v>
                </c:pt>
                <c:pt idx="463">
                  <c:v>-3.9520889435762157</c:v>
                </c:pt>
                <c:pt idx="464">
                  <c:v>-4.015861669024539</c:v>
                </c:pt>
                <c:pt idx="465">
                  <c:v>-4.0808715905251853</c:v>
                </c:pt>
                <c:pt idx="466">
                  <c:v>-4.1456240621435221</c:v>
                </c:pt>
                <c:pt idx="467">
                  <c:v>-4.2101220584808585</c:v>
                </c:pt>
                <c:pt idx="468">
                  <c:v>-4.2743684970523317</c:v>
                </c:pt>
                <c:pt idx="469">
                  <c:v>-4.3398289462905897</c:v>
                </c:pt>
                <c:pt idx="470">
                  <c:v>-4.405032182658946</c:v>
                </c:pt>
                <c:pt idx="471">
                  <c:v>-4.469981152618117</c:v>
                </c:pt>
                <c:pt idx="472">
                  <c:v>-4.5346787462458451</c:v>
                </c:pt>
                <c:pt idx="473">
                  <c:v>-4.6006638650439049</c:v>
                </c:pt>
                <c:pt idx="474">
                  <c:v>-4.6663914150356147</c:v>
                </c:pt>
                <c:pt idx="475">
                  <c:v>-4.7318643238739382</c:v>
                </c:pt>
                <c:pt idx="476">
                  <c:v>-4.7970854633601894</c:v>
                </c:pt>
                <c:pt idx="477">
                  <c:v>-4.8635700885862869</c:v>
                </c:pt>
                <c:pt idx="478">
                  <c:v>-4.9297969749714108</c:v>
                </c:pt>
                <c:pt idx="479">
                  <c:v>-4.9957690275824458</c:v>
                </c:pt>
                <c:pt idx="480">
                  <c:v>-5.061489096337243</c:v>
                </c:pt>
                <c:pt idx="481">
                  <c:v>-5.1284493084451332</c:v>
                </c:pt>
                <c:pt idx="482">
                  <c:v>-5.1951517794360154</c:v>
                </c:pt>
                <c:pt idx="483">
                  <c:v>-5.261599388735366</c:v>
                </c:pt>
                <c:pt idx="484">
                  <c:v>-5.3277949614837468</c:v>
                </c:pt>
                <c:pt idx="485">
                  <c:v>-5.3952538409308364</c:v>
                </c:pt>
                <c:pt idx="486">
                  <c:v>-5.462454779929562</c:v>
                </c:pt>
                <c:pt idx="487">
                  <c:v>-5.5294006357123182</c:v>
                </c:pt>
                <c:pt idx="488">
                  <c:v>-5.5960942120987305</c:v>
                </c:pt>
                <c:pt idx="489">
                  <c:v>-5.6641183179114769</c:v>
                </c:pt>
                <c:pt idx="490">
                  <c:v>-5.731883762220864</c:v>
                </c:pt>
                <c:pt idx="491">
                  <c:v>-5.7993933891937264</c:v>
                </c:pt>
                <c:pt idx="492">
                  <c:v>-5.866649990336823</c:v>
                </c:pt>
                <c:pt idx="493">
                  <c:v>-5.9352126701114818</c:v>
                </c:pt>
                <c:pt idx="494">
                  <c:v>-6.0035161616577639</c:v>
                </c:pt>
                <c:pt idx="495">
                  <c:v>-6.071563293809346</c:v>
                </c:pt>
                <c:pt idx="496">
                  <c:v>-6.1393568436682795</c:v>
                </c:pt>
                <c:pt idx="497">
                  <c:v>-6.2084765031791509</c:v>
                </c:pt>
                <c:pt idx="498">
                  <c:v>-6.2773363033546792</c:v>
                </c:pt>
                <c:pt idx="499">
                  <c:v>-6.3459390615572486</c:v>
                </c:pt>
                <c:pt idx="500">
                  <c:v>-6.4142875443830514</c:v>
                </c:pt>
                <c:pt idx="501">
                  <c:v>-6.4839812038553255</c:v>
                </c:pt>
                <c:pt idx="502">
                  <c:v>-6.5534142081260516</c:v>
                </c:pt>
                <c:pt idx="503">
                  <c:v>-6.6225893672128056</c:v>
                </c:pt>
                <c:pt idx="504">
                  <c:v>-6.6915094413772733</c:v>
                </c:pt>
                <c:pt idx="505">
                  <c:v>-6.7617503205774252</c:v>
                </c:pt>
                <c:pt idx="506">
                  <c:v>-6.8317299603223898</c:v>
                </c:pt>
                <c:pt idx="507">
                  <c:v>-6.9014511626855191</c:v>
                </c:pt>
                <c:pt idx="508">
                  <c:v>-6.9709166811624925</c:v>
                </c:pt>
                <c:pt idx="509">
                  <c:v>-7.0417212137057614</c:v>
                </c:pt>
                <c:pt idx="510">
                  <c:v>-7.1122638228639925</c:v>
                </c:pt>
                <c:pt idx="511">
                  <c:v>-7.1825473079614364</c:v>
                </c:pt>
                <c:pt idx="512">
                  <c:v>-7.2525744209659537</c:v>
                </c:pt>
                <c:pt idx="513">
                  <c:v>-7.3239991904236676</c:v>
                </c:pt>
                <c:pt idx="514">
                  <c:v>-7.3951609763597368</c:v>
                </c:pt>
                <c:pt idx="515">
                  <c:v>-7.4660625857813017</c:v>
                </c:pt>
                <c:pt idx="516">
                  <c:v>-7.5367067795026363</c:v>
                </c:pt>
                <c:pt idx="517">
                  <c:v>-7.6087236069196091</c:v>
                </c:pt>
                <c:pt idx="518">
                  <c:v>-7.6804766612990338</c:v>
                </c:pt>
                <c:pt idx="519">
                  <c:v>-7.7519687583627048</c:v>
                </c:pt>
                <c:pt idx="520">
                  <c:v>-7.8232026689673875</c:v>
                </c:pt>
                <c:pt idx="521">
                  <c:v>-7.8958250345491177</c:v>
                </c:pt>
                <c:pt idx="522">
                  <c:v>-7.968182824270488</c:v>
                </c:pt>
                <c:pt idx="523">
                  <c:v>-8.0402788691671798</c:v>
                </c:pt>
                <c:pt idx="524">
                  <c:v>-8.1121159567891858</c:v>
                </c:pt>
                <c:pt idx="525">
                  <c:v>-8.1853566393196413</c:v>
                </c:pt>
                <c:pt idx="526">
                  <c:v>-8.2583319648079474</c:v>
                </c:pt>
                <c:pt idx="527">
                  <c:v>-8.3310447867651476</c:v>
                </c:pt>
                <c:pt idx="528">
                  <c:v>-8.4034979166462804</c:v>
                </c:pt>
                <c:pt idx="529">
                  <c:v>-8.4773691659307921</c:v>
                </c:pt>
                <c:pt idx="530">
                  <c:v>-8.5509743371693432</c:v>
                </c:pt>
                <c:pt idx="531">
                  <c:v>-8.6243163141114199</c:v>
                </c:pt>
                <c:pt idx="532">
                  <c:v>-8.6973979399271766</c:v>
                </c:pt>
                <c:pt idx="533">
                  <c:v>-8.7719500660837006</c:v>
                </c:pt>
                <c:pt idx="534">
                  <c:v>-8.846235221900498</c:v>
                </c:pt>
                <c:pt idx="535">
                  <c:v>-8.920256334257866</c:v>
                </c:pt>
                <c:pt idx="536">
                  <c:v>-8.9940162908947769</c:v>
                </c:pt>
                <c:pt idx="537">
                  <c:v>-9.0691837330518403</c:v>
                </c:pt>
                <c:pt idx="538">
                  <c:v>-9.1440840157622283</c:v>
                </c:pt>
                <c:pt idx="539">
                  <c:v>-9.2187201090078137</c:v>
                </c:pt>
                <c:pt idx="540">
                  <c:v>-9.2930949452597371</c:v>
                </c:pt>
                <c:pt idx="541">
                  <c:v>-9.3689658634215878</c:v>
                </c:pt>
                <c:pt idx="542">
                  <c:v>-9.4445690911802664</c:v>
                </c:pt>
                <c:pt idx="543">
                  <c:v>-9.5199076603474158</c:v>
                </c:pt>
                <c:pt idx="544">
                  <c:v>-9.594984566720548</c:v>
                </c:pt>
                <c:pt idx="545">
                  <c:v>-9.6715328269207284</c:v>
                </c:pt>
                <c:pt idx="546">
                  <c:v>-9.7478133962483842</c:v>
                </c:pt>
                <c:pt idx="547">
                  <c:v>-9.8238293741517353</c:v>
                </c:pt>
                <c:pt idx="548">
                  <c:v>-9.8995838256382171</c:v>
                </c:pt>
                <c:pt idx="549">
                  <c:v>-9.9768223202012365</c:v>
                </c:pt>
                <c:pt idx="550">
                  <c:v>-10.053793440317612</c:v>
                </c:pt>
                <c:pt idx="551">
                  <c:v>-10.1305003640205</c:v>
                </c:pt>
                <c:pt idx="552">
                  <c:v>-10.206946236452142</c:v>
                </c:pt>
                <c:pt idx="553">
                  <c:v>-10.28492458990706</c:v>
                </c:pt>
                <c:pt idx="554">
                  <c:v>-10.36263602356148</c:v>
                </c:pt>
                <c:pt idx="555">
                  <c:v>-10.440083810002402</c:v>
                </c:pt>
                <c:pt idx="556">
                  <c:v>-10.517271190366543</c:v>
                </c:pt>
                <c:pt idx="557">
                  <c:v>-10.674468862959934</c:v>
                </c:pt>
                <c:pt idx="558">
                  <c:v>-10.830616046107524</c:v>
                </c:pt>
                <c:pt idx="559">
                  <c:v>-10.989283259729357</c:v>
                </c:pt>
                <c:pt idx="560">
                  <c:v>-11.146907254320977</c:v>
                </c:pt>
                <c:pt idx="561">
                  <c:v>-11.307219189694093</c:v>
                </c:pt>
                <c:pt idx="562">
                  <c:v>-11.466495894619852</c:v>
                </c:pt>
                <c:pt idx="563">
                  <c:v>-11.62815160681857</c:v>
                </c:pt>
                <c:pt idx="564">
                  <c:v>-11.788787269619462</c:v>
                </c:pt>
                <c:pt idx="565">
                  <c:v>-11.952444725277509</c:v>
                </c:pt>
                <c:pt idx="566">
                  <c:v>-12.115092852257785</c:v>
                </c:pt>
                <c:pt idx="567">
                  <c:v>-12.280726228837953</c:v>
                </c:pt>
                <c:pt idx="568">
                  <c:v>-12.445365786765985</c:v>
                </c:pt>
                <c:pt idx="569">
                  <c:v>-12.612308147212055</c:v>
                </c:pt>
                <c:pt idx="570">
                  <c:v>-12.778284685391647</c:v>
                </c:pt>
                <c:pt idx="571">
                  <c:v>-12.947846973650922</c:v>
                </c:pt>
                <c:pt idx="572">
                  <c:v>-13.116461492442076</c:v>
                </c:pt>
                <c:pt idx="573">
                  <c:v>-13.287355742421569</c:v>
                </c:pt>
                <c:pt idx="574">
                  <c:v>-13.457340102500989</c:v>
                </c:pt>
                <c:pt idx="575">
                  <c:v>-13.630873626394646</c:v>
                </c:pt>
                <c:pt idx="576">
                  <c:v>-13.803527006227032</c:v>
                </c:pt>
                <c:pt idx="577">
                  <c:v>-14.52559993602244</c:v>
                </c:pt>
                <c:pt idx="578">
                  <c:v>-15.235410632889849</c:v>
                </c:pt>
                <c:pt idx="579">
                  <c:v>-16.760591566760215</c:v>
                </c:pt>
                <c:pt idx="580">
                  <c:v>-18.409218726950098</c:v>
                </c:pt>
                <c:pt idx="581">
                  <c:v>-20.211059567518213</c:v>
                </c:pt>
                <c:pt idx="582">
                  <c:v>-22.197042675606006</c:v>
                </c:pt>
                <c:pt idx="583">
                  <c:v>-24.383385164910408</c:v>
                </c:pt>
                <c:pt idx="584">
                  <c:v>-26.769070960728722</c:v>
                </c:pt>
                <c:pt idx="585">
                  <c:v>-29.328421311889826</c:v>
                </c:pt>
                <c:pt idx="586">
                  <c:v>-32.022413705362688</c:v>
                </c:pt>
                <c:pt idx="587">
                  <c:v>-34.808570484955659</c:v>
                </c:pt>
                <c:pt idx="588">
                  <c:v>-37.644088171060716</c:v>
                </c:pt>
                <c:pt idx="589">
                  <c:v>-40.499182365403314</c:v>
                </c:pt>
                <c:pt idx="590">
                  <c:v>-43.349564999826164</c:v>
                </c:pt>
                <c:pt idx="591">
                  <c:v>-46.179974587891422</c:v>
                </c:pt>
                <c:pt idx="592">
                  <c:v>-48.98052974230491</c:v>
                </c:pt>
                <c:pt idx="593">
                  <c:v>-51.746951401495053</c:v>
                </c:pt>
                <c:pt idx="594">
                  <c:v>-54.476489666693141</c:v>
                </c:pt>
                <c:pt idx="595">
                  <c:v>-57.169785941941967</c:v>
                </c:pt>
                <c:pt idx="596">
                  <c:v>-59.827765278197063</c:v>
                </c:pt>
                <c:pt idx="597">
                  <c:v>-62.453323228597746</c:v>
                </c:pt>
                <c:pt idx="598">
                  <c:v>-65.048616810918062</c:v>
                </c:pt>
                <c:pt idx="599">
                  <c:v>-67.617324068851801</c:v>
                </c:pt>
                <c:pt idx="600">
                  <c:v>-70.162086360547718</c:v>
                </c:pt>
              </c:numCache>
            </c:numRef>
          </c:yVal>
          <c:smooth val="0"/>
          <c:extLst>
            <c:ext xmlns:c16="http://schemas.microsoft.com/office/drawing/2014/chart" uri="{C3380CC4-5D6E-409C-BE32-E72D297353CC}">
              <c16:uniqueId val="{00000000-1839-4D61-A0B5-FA68D8BCC26F}"/>
            </c:ext>
          </c:extLst>
        </c:ser>
        <c:dLbls>
          <c:showLegendKey val="0"/>
          <c:showVal val="0"/>
          <c:showCatName val="0"/>
          <c:showSerName val="0"/>
          <c:showPercent val="0"/>
          <c:showBubbleSize val="0"/>
        </c:dLbls>
        <c:axId val="235397888"/>
        <c:axId val="235399808"/>
      </c:scatterChart>
      <c:scatterChart>
        <c:scatterStyle val="lineMarker"/>
        <c:varyColors val="0"/>
        <c:ser>
          <c:idx val="1"/>
          <c:order val="1"/>
          <c:tx>
            <c:strRef>
              <c:f>'Stability Calculations'!$W$12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-18.371193668191005</c:v>
                </c:pt>
                <c:pt idx="1">
                  <c:v>-20.011186337853896</c:v>
                </c:pt>
                <c:pt idx="2">
                  <c:v>-21.77142703952001</c:v>
                </c:pt>
                <c:pt idx="3">
                  <c:v>-23.653811047496148</c:v>
                </c:pt>
                <c:pt idx="4">
                  <c:v>-25.657024475896538</c:v>
                </c:pt>
                <c:pt idx="5">
                  <c:v>-27.782247219520066</c:v>
                </c:pt>
                <c:pt idx="6">
                  <c:v>-30.021731746939963</c:v>
                </c:pt>
                <c:pt idx="7">
                  <c:v>-32.369175326281095</c:v>
                </c:pt>
                <c:pt idx="8">
                  <c:v>-34.812008407589197</c:v>
                </c:pt>
                <c:pt idx="9">
                  <c:v>-37.338154880555827</c:v>
                </c:pt>
                <c:pt idx="10">
                  <c:v>-39.929411973592352</c:v>
                </c:pt>
                <c:pt idx="11">
                  <c:v>-42.566946549041035</c:v>
                </c:pt>
                <c:pt idx="12">
                  <c:v>-45.231237586218448</c:v>
                </c:pt>
                <c:pt idx="13">
                  <c:v>-47.897860167296791</c:v>
                </c:pt>
                <c:pt idx="14">
                  <c:v>-50.547056970733081</c:v>
                </c:pt>
                <c:pt idx="15">
                  <c:v>-53.156826681448791</c:v>
                </c:pt>
                <c:pt idx="16">
                  <c:v>-55.708149116806425</c:v>
                </c:pt>
                <c:pt idx="17">
                  <c:v>-58.183856912643392</c:v>
                </c:pt>
                <c:pt idx="18">
                  <c:v>-60.57072328030543</c:v>
                </c:pt>
                <c:pt idx="19">
                  <c:v>-62.857270089354728</c:v>
                </c:pt>
                <c:pt idx="20">
                  <c:v>-65.036260336947677</c:v>
                </c:pt>
                <c:pt idx="21">
                  <c:v>-67.102543323262921</c:v>
                </c:pt>
                <c:pt idx="22">
                  <c:v>-69.054558793578764</c:v>
                </c:pt>
                <c:pt idx="23">
                  <c:v>-70.892178790505412</c:v>
                </c:pt>
                <c:pt idx="24">
                  <c:v>-72.618186448843119</c:v>
                </c:pt>
                <c:pt idx="25">
                  <c:v>-74.236187373335824</c:v>
                </c:pt>
                <c:pt idx="26">
                  <c:v>-75.751634072826121</c:v>
                </c:pt>
                <c:pt idx="27">
                  <c:v>-77.17002724990968</c:v>
                </c:pt>
                <c:pt idx="28">
                  <c:v>-78.498067291027894</c:v>
                </c:pt>
                <c:pt idx="29">
                  <c:v>-79.742041378002142</c:v>
                </c:pt>
                <c:pt idx="30">
                  <c:v>-80.911256913373705</c:v>
                </c:pt>
                <c:pt idx="31">
                  <c:v>-82.011344989129185</c:v>
                </c:pt>
                <c:pt idx="32">
                  <c:v>-83.050396893686298</c:v>
                </c:pt>
                <c:pt idx="33">
                  <c:v>-84.034944033417787</c:v>
                </c:pt>
                <c:pt idx="34">
                  <c:v>-84.972902576794581</c:v>
                </c:pt>
                <c:pt idx="35">
                  <c:v>-85.870751714433482</c:v>
                </c:pt>
                <c:pt idx="36">
                  <c:v>-86.735522297149743</c:v>
                </c:pt>
                <c:pt idx="37">
                  <c:v>-87.574408905908996</c:v>
                </c:pt>
                <c:pt idx="38">
                  <c:v>-88.393240825702591</c:v>
                </c:pt>
                <c:pt idx="39">
                  <c:v>-89.199215428726063</c:v>
                </c:pt>
                <c:pt idx="40">
                  <c:v>-89.998483362783347</c:v>
                </c:pt>
                <c:pt idx="41">
                  <c:v>-90.797529674498293</c:v>
                </c:pt>
                <c:pt idx="42">
                  <c:v>-91.602640882558333</c:v>
                </c:pt>
                <c:pt idx="43">
                  <c:v>-92.420460330936351</c:v>
                </c:pt>
                <c:pt idx="44">
                  <c:v>-93.257209045016097</c:v>
                </c:pt>
                <c:pt idx="45">
                  <c:v>-94.119543576449729</c:v>
                </c:pt>
                <c:pt idx="46">
                  <c:v>-95.013837026128186</c:v>
                </c:pt>
                <c:pt idx="47">
                  <c:v>-95.946892468941186</c:v>
                </c:pt>
                <c:pt idx="48">
                  <c:v>-96.925137857842316</c:v>
                </c:pt>
                <c:pt idx="49">
                  <c:v>-97.955503618004329</c:v>
                </c:pt>
                <c:pt idx="50">
                  <c:v>-99.044490963790182</c:v>
                </c:pt>
                <c:pt idx="51">
                  <c:v>-100.19891992923796</c:v>
                </c:pt>
                <c:pt idx="52">
                  <c:v>-101.42476896920677</c:v>
                </c:pt>
                <c:pt idx="53">
                  <c:v>-102.72804136077012</c:v>
                </c:pt>
                <c:pt idx="54">
                  <c:v>-104.11325535367058</c:v>
                </c:pt>
                <c:pt idx="55">
                  <c:v>-105.58742406843983</c:v>
                </c:pt>
                <c:pt idx="56">
                  <c:v>-107.15211804747405</c:v>
                </c:pt>
                <c:pt idx="57">
                  <c:v>-108.81051650263956</c:v>
                </c:pt>
                <c:pt idx="58">
                  <c:v>-110.5617518357395</c:v>
                </c:pt>
                <c:pt idx="59">
                  <c:v>-112.40529700742866</c:v>
                </c:pt>
                <c:pt idx="60">
                  <c:v>-114.33566797280102</c:v>
                </c:pt>
                <c:pt idx="61">
                  <c:v>-116.34570379924826</c:v>
                </c:pt>
                <c:pt idx="62">
                  <c:v>-118.4258787756394</c:v>
                </c:pt>
                <c:pt idx="63">
                  <c:v>-120.56019219306398</c:v>
                </c:pt>
                <c:pt idx="64">
                  <c:v>-122.73300326110831</c:v>
                </c:pt>
                <c:pt idx="65">
                  <c:v>-124.92309585056698</c:v>
                </c:pt>
                <c:pt idx="66">
                  <c:v>-127.10767159581151</c:v>
                </c:pt>
                <c:pt idx="67">
                  <c:v>-129.26156903394198</c:v>
                </c:pt>
                <c:pt idx="68">
                  <c:v>-131.35951895161799</c:v>
                </c:pt>
                <c:pt idx="69">
                  <c:v>-133.37495052806977</c:v>
                </c:pt>
                <c:pt idx="70">
                  <c:v>-135.28306058644509</c:v>
                </c:pt>
                <c:pt idx="71">
                  <c:v>-137.05987056199845</c:v>
                </c:pt>
                <c:pt idx="72">
                  <c:v>-138.68442240335253</c:v>
                </c:pt>
                <c:pt idx="73">
                  <c:v>-140.13768837465858</c:v>
                </c:pt>
                <c:pt idx="74">
                  <c:v>-141.40434858884555</c:v>
                </c:pt>
                <c:pt idx="75">
                  <c:v>-142.47149023455538</c:v>
                </c:pt>
                <c:pt idx="76">
                  <c:v>-143.32954474024012</c:v>
                </c:pt>
                <c:pt idx="77">
                  <c:v>-143.97122572997975</c:v>
                </c:pt>
                <c:pt idx="78">
                  <c:v>-144.39224066535212</c:v>
                </c:pt>
                <c:pt idx="79">
                  <c:v>-144.59066087585231</c:v>
                </c:pt>
                <c:pt idx="80">
                  <c:v>-144.56715894629662</c:v>
                </c:pt>
                <c:pt idx="81">
                  <c:v>-144.32435378310819</c:v>
                </c:pt>
                <c:pt idx="82">
                  <c:v>-143.86732306848828</c:v>
                </c:pt>
                <c:pt idx="83">
                  <c:v>-143.20419560535311</c:v>
                </c:pt>
                <c:pt idx="84">
                  <c:v>-142.34498657143791</c:v>
                </c:pt>
                <c:pt idx="85">
                  <c:v>-141.30357122275225</c:v>
                </c:pt>
                <c:pt idx="86">
                  <c:v>-140.09636890755513</c:v>
                </c:pt>
                <c:pt idx="87">
                  <c:v>-138.74226384059264</c:v>
                </c:pt>
                <c:pt idx="88">
                  <c:v>-137.26518510245148</c:v>
                </c:pt>
                <c:pt idx="89">
                  <c:v>-135.68933070825366</c:v>
                </c:pt>
                <c:pt idx="90">
                  <c:v>-134.04282288439182</c:v>
                </c:pt>
                <c:pt idx="91">
                  <c:v>-132.35460200178198</c:v>
                </c:pt>
                <c:pt idx="92">
                  <c:v>-130.65465296971928</c:v>
                </c:pt>
                <c:pt idx="93">
                  <c:v>-128.9720035519525</c:v>
                </c:pt>
                <c:pt idx="94">
                  <c:v>-128.55762406875402</c:v>
                </c:pt>
                <c:pt idx="95">
                  <c:v>-128.35037676469221</c:v>
                </c:pt>
                <c:pt idx="96">
                  <c:v>-128.14637827214986</c:v>
                </c:pt>
                <c:pt idx="97">
                  <c:v>-127.94097919287995</c:v>
                </c:pt>
                <c:pt idx="98">
                  <c:v>-127.7389108063867</c:v>
                </c:pt>
                <c:pt idx="99">
                  <c:v>-127.53551661447734</c:v>
                </c:pt>
                <c:pt idx="100">
                  <c:v>-127.33553207290068</c:v>
                </c:pt>
                <c:pt idx="101">
                  <c:v>-127.13445269541248</c:v>
                </c:pt>
                <c:pt idx="102">
                  <c:v>-126.93685365435837</c:v>
                </c:pt>
                <c:pt idx="103">
                  <c:v>-126.73809497117651</c:v>
                </c:pt>
                <c:pt idx="104">
                  <c:v>-126.54288926347783</c:v>
                </c:pt>
                <c:pt idx="105">
                  <c:v>-126.34675796783141</c:v>
                </c:pt>
                <c:pt idx="106">
                  <c:v>-126.15424369544515</c:v>
                </c:pt>
                <c:pt idx="107">
                  <c:v>-125.96102843102751</c:v>
                </c:pt>
                <c:pt idx="108">
                  <c:v>-125.77148564220494</c:v>
                </c:pt>
                <c:pt idx="109">
                  <c:v>-125.58132851241137</c:v>
                </c:pt>
                <c:pt idx="110">
                  <c:v>-125.39489580851924</c:v>
                </c:pt>
                <c:pt idx="111">
                  <c:v>-125.2078174537977</c:v>
                </c:pt>
                <c:pt idx="112">
                  <c:v>-125.02451683223568</c:v>
                </c:pt>
                <c:pt idx="113">
                  <c:v>-124.84079521929934</c:v>
                </c:pt>
                <c:pt idx="114">
                  <c:v>-124.66089578412138</c:v>
                </c:pt>
                <c:pt idx="115">
                  <c:v>-124.48067605334741</c:v>
                </c:pt>
                <c:pt idx="116">
                  <c:v>-124.30431908918133</c:v>
                </c:pt>
                <c:pt idx="117">
                  <c:v>-124.12774626004807</c:v>
                </c:pt>
                <c:pt idx="118">
                  <c:v>-123.95507283437547</c:v>
                </c:pt>
                <c:pt idx="119">
                  <c:v>-123.78239475522803</c:v>
                </c:pt>
                <c:pt idx="120">
                  <c:v>-123.61364396169897</c:v>
                </c:pt>
                <c:pt idx="121">
                  <c:v>-123.44498953843222</c:v>
                </c:pt>
                <c:pt idx="122">
                  <c:v>-123.28028642634793</c:v>
                </c:pt>
                <c:pt idx="123">
                  <c:v>-123.11568913247689</c:v>
                </c:pt>
                <c:pt idx="124">
                  <c:v>-122.95506783319381</c:v>
                </c:pt>
                <c:pt idx="125">
                  <c:v>-122.79475682348772</c:v>
                </c:pt>
                <c:pt idx="126">
                  <c:v>-122.63843782721707</c:v>
                </c:pt>
                <c:pt idx="127">
                  <c:v>-122.48253653589272</c:v>
                </c:pt>
                <c:pt idx="128">
                  <c:v>-122.3306393312902</c:v>
                </c:pt>
                <c:pt idx="129">
                  <c:v>-122.17926859439353</c:v>
                </c:pt>
                <c:pt idx="130">
                  <c:v>-122.03191007214879</c:v>
                </c:pt>
                <c:pt idx="131">
                  <c:v>-121.88518775345747</c:v>
                </c:pt>
                <c:pt idx="132">
                  <c:v>-121.81333843020275</c:v>
                </c:pt>
                <c:pt idx="133">
                  <c:v>-121.74248184657942</c:v>
                </c:pt>
                <c:pt idx="134">
                  <c:v>-121.67095760361883</c:v>
                </c:pt>
                <c:pt idx="135">
                  <c:v>-121.60045025366503</c:v>
                </c:pt>
                <c:pt idx="136">
                  <c:v>-121.53094806985872</c:v>
                </c:pt>
                <c:pt idx="137">
                  <c:v>-121.46243946846657</c:v>
                </c:pt>
                <c:pt idx="138">
                  <c:v>-121.39339121286578</c:v>
                </c:pt>
                <c:pt idx="139">
                  <c:v>-121.3253581150701</c:v>
                </c:pt>
                <c:pt idx="140">
                  <c:v>-121.25832824149462</c:v>
                </c:pt>
                <c:pt idx="141">
                  <c:v>-121.19228981004719</c:v>
                </c:pt>
                <c:pt idx="142">
                  <c:v>-121.12570022478209</c:v>
                </c:pt>
                <c:pt idx="143">
                  <c:v>-121.06012515272579</c:v>
                </c:pt>
                <c:pt idx="144">
                  <c:v>-120.9955524377517</c:v>
                </c:pt>
                <c:pt idx="145">
                  <c:v>-120.93197008380844</c:v>
                </c:pt>
                <c:pt idx="146">
                  <c:v>-120.86792759278642</c:v>
                </c:pt>
                <c:pt idx="147">
                  <c:v>-120.80489697444916</c:v>
                </c:pt>
                <c:pt idx="148">
                  <c:v>-120.74286588898555</c:v>
                </c:pt>
                <c:pt idx="149">
                  <c:v>-120.68182216451744</c:v>
                </c:pt>
                <c:pt idx="150">
                  <c:v>-120.62037637284909</c:v>
                </c:pt>
                <c:pt idx="151">
                  <c:v>-120.55993888114132</c:v>
                </c:pt>
                <c:pt idx="152">
                  <c:v>-120.50049718657944</c:v>
                </c:pt>
                <c:pt idx="153">
                  <c:v>-120.44203896170212</c:v>
                </c:pt>
                <c:pt idx="154">
                  <c:v>-120.38321038623148</c:v>
                </c:pt>
                <c:pt idx="155">
                  <c:v>-120.32538654796952</c:v>
                </c:pt>
                <c:pt idx="156">
                  <c:v>-120.26855478443771</c:v>
                </c:pt>
                <c:pt idx="157">
                  <c:v>-120.21270261581097</c:v>
                </c:pt>
                <c:pt idx="158">
                  <c:v>-120.15654170840298</c:v>
                </c:pt>
                <c:pt idx="159">
                  <c:v>-120.10138102000053</c:v>
                </c:pt>
                <c:pt idx="160">
                  <c:v>-120.04720774983657</c:v>
                </c:pt>
                <c:pt idx="161">
                  <c:v>-119.99400928663317</c:v>
                </c:pt>
                <c:pt idx="162">
                  <c:v>-119.94058706971975</c:v>
                </c:pt>
                <c:pt idx="163">
                  <c:v>-119.88815876043496</c:v>
                </c:pt>
                <c:pt idx="164">
                  <c:v>-119.83671145788549</c:v>
                </c:pt>
                <c:pt idx="165">
                  <c:v>-119.78623245668066</c:v>
                </c:pt>
                <c:pt idx="166">
                  <c:v>-119.73554577052215</c:v>
                </c:pt>
                <c:pt idx="167">
                  <c:v>-119.68584754642724</c:v>
                </c:pt>
                <c:pt idx="168">
                  <c:v>-119.63712477034522</c:v>
                </c:pt>
                <c:pt idx="169">
                  <c:v>-119.58936462993537</c:v>
                </c:pt>
                <c:pt idx="170">
                  <c:v>-119.54156032242186</c:v>
                </c:pt>
                <c:pt idx="171">
                  <c:v>-119.49473401534866</c:v>
                </c:pt>
                <c:pt idx="172">
                  <c:v>-119.44887268478001</c:v>
                </c:pt>
                <c:pt idx="173">
                  <c:v>-119.40396351247236</c:v>
                </c:pt>
                <c:pt idx="174">
                  <c:v>-119.35889743718931</c:v>
                </c:pt>
                <c:pt idx="175">
                  <c:v>-119.31480549674248</c:v>
                </c:pt>
                <c:pt idx="176">
                  <c:v>-119.27167452976217</c:v>
                </c:pt>
                <c:pt idx="177">
                  <c:v>-119.22949158716115</c:v>
                </c:pt>
                <c:pt idx="178">
                  <c:v>-119.18724131696277</c:v>
                </c:pt>
                <c:pt idx="179">
                  <c:v>-119.14595941424248</c:v>
                </c:pt>
                <c:pt idx="180">
                  <c:v>-119.10563262048947</c:v>
                </c:pt>
                <c:pt idx="181">
                  <c:v>-119.06624789518116</c:v>
                </c:pt>
                <c:pt idx="182">
                  <c:v>-119.0270326935017</c:v>
                </c:pt>
                <c:pt idx="183">
                  <c:v>-118.98877088979752</c:v>
                </c:pt>
                <c:pt idx="184">
                  <c:v>-118.95144932136165</c:v>
                </c:pt>
                <c:pt idx="185">
                  <c:v>-118.91505504485626</c:v>
                </c:pt>
                <c:pt idx="186">
                  <c:v>-118.87861415705355</c:v>
                </c:pt>
                <c:pt idx="187">
                  <c:v>-118.84312516193245</c:v>
                </c:pt>
                <c:pt idx="188">
                  <c:v>-118.80857471781158</c:v>
                </c:pt>
                <c:pt idx="189">
                  <c:v>-118.77494970979164</c:v>
                </c:pt>
                <c:pt idx="190">
                  <c:v>-118.74162175215736</c:v>
                </c:pt>
                <c:pt idx="191">
                  <c:v>-118.70922808970222</c:v>
                </c:pt>
                <c:pt idx="192">
                  <c:v>-118.67775554181738</c:v>
                </c:pt>
                <c:pt idx="193">
                  <c:v>-118.6471911543363</c:v>
                </c:pt>
                <c:pt idx="194">
                  <c:v>-118.61675628866467</c:v>
                </c:pt>
                <c:pt idx="195">
                  <c:v>-118.58725089749994</c:v>
                </c:pt>
                <c:pt idx="196">
                  <c:v>-118.55866169601779</c:v>
                </c:pt>
                <c:pt idx="197">
                  <c:v>-118.53097563146402</c:v>
                </c:pt>
                <c:pt idx="198">
                  <c:v>-118.50360297620765</c:v>
                </c:pt>
                <c:pt idx="199">
                  <c:v>-118.47714660622687</c:v>
                </c:pt>
                <c:pt idx="200">
                  <c:v>-118.45159331386108</c:v>
                </c:pt>
                <c:pt idx="201">
                  <c:v>-118.42693012487692</c:v>
                </c:pt>
                <c:pt idx="202">
                  <c:v>-118.40264410633809</c:v>
                </c:pt>
                <c:pt idx="203">
                  <c:v>-118.3792601091926</c:v>
                </c:pt>
                <c:pt idx="204">
                  <c:v>-118.35676503111993</c:v>
                </c:pt>
                <c:pt idx="205">
                  <c:v>-118.33514600379831</c:v>
                </c:pt>
                <c:pt idx="206">
                  <c:v>-118.3138931028642</c:v>
                </c:pt>
                <c:pt idx="207">
                  <c:v>-118.29353305084116</c:v>
                </c:pt>
                <c:pt idx="208">
                  <c:v>-118.27405274400658</c:v>
                </c:pt>
                <c:pt idx="209">
                  <c:v>-118.25543931565052</c:v>
                </c:pt>
                <c:pt idx="210">
                  <c:v>-118.23720710104178</c:v>
                </c:pt>
                <c:pt idx="211">
                  <c:v>-118.21986296782673</c:v>
                </c:pt>
                <c:pt idx="212">
                  <c:v>-118.2033937151308</c:v>
                </c:pt>
                <c:pt idx="213">
                  <c:v>-118.18778638439171</c:v>
                </c:pt>
                <c:pt idx="214">
                  <c:v>-118.17274261881876</c:v>
                </c:pt>
                <c:pt idx="215">
                  <c:v>-118.15856899835926</c:v>
                </c:pt>
                <c:pt idx="216">
                  <c:v>-118.14525251987236</c:v>
                </c:pt>
                <c:pt idx="217">
                  <c:v>-118.1327804205678</c:v>
                </c:pt>
                <c:pt idx="218">
                  <c:v>-118.12088436275333</c:v>
                </c:pt>
                <c:pt idx="219">
                  <c:v>-118.1098453691249</c:v>
                </c:pt>
                <c:pt idx="220">
                  <c:v>-118.09965053055728</c:v>
                </c:pt>
                <c:pt idx="221">
                  <c:v>-118.09028717874011</c:v>
                </c:pt>
                <c:pt idx="222">
                  <c:v>-118.08156164186539</c:v>
                </c:pt>
                <c:pt idx="223">
                  <c:v>-118.07367905110496</c:v>
                </c:pt>
                <c:pt idx="224">
                  <c:v>-118.06662661831054</c:v>
                </c:pt>
                <c:pt idx="225">
                  <c:v>-118.06039179584533</c:v>
                </c:pt>
                <c:pt idx="226">
                  <c:v>-118.05483713630419</c:v>
                </c:pt>
                <c:pt idx="227">
                  <c:v>-118.05011540970506</c:v>
                </c:pt>
                <c:pt idx="228">
                  <c:v>-118.0462138584756</c:v>
                </c:pt>
                <c:pt idx="229">
                  <c:v>-118.04311996743523</c:v>
                </c:pt>
                <c:pt idx="230">
                  <c:v>-118.03925236549624</c:v>
                </c:pt>
                <c:pt idx="231">
                  <c:v>-118.03853825519577</c:v>
                </c:pt>
                <c:pt idx="232">
                  <c:v>-118.03862058886118</c:v>
                </c:pt>
                <c:pt idx="233">
                  <c:v>-118.03951715475424</c:v>
                </c:pt>
                <c:pt idx="234">
                  <c:v>-118.04122277533131</c:v>
                </c:pt>
                <c:pt idx="235">
                  <c:v>-118.04372484794004</c:v>
                </c:pt>
                <c:pt idx="236">
                  <c:v>-118.0470110135184</c:v>
                </c:pt>
                <c:pt idx="237">
                  <c:v>-118.05115939722904</c:v>
                </c:pt>
                <c:pt idx="238">
                  <c:v>-118.05609877323307</c:v>
                </c:pt>
                <c:pt idx="239">
                  <c:v>-118.06181676296183</c:v>
                </c:pt>
                <c:pt idx="240">
                  <c:v>-118.06830122813832</c:v>
                </c:pt>
                <c:pt idx="241">
                  <c:v>-118.07573514352664</c:v>
                </c:pt>
                <c:pt idx="242">
                  <c:v>-118.08395012137488</c:v>
                </c:pt>
                <c:pt idx="243">
                  <c:v>-118.09293381948768</c:v>
                </c:pt>
                <c:pt idx="244">
                  <c:v>-118.10267413742321</c:v>
                </c:pt>
                <c:pt idx="245">
                  <c:v>-118.11339991276721</c:v>
                </c:pt>
                <c:pt idx="246">
                  <c:v>-118.1248913968393</c:v>
                </c:pt>
                <c:pt idx="247">
                  <c:v>-118.13713641335742</c:v>
                </c:pt>
                <c:pt idx="248">
                  <c:v>-118.15012302581427</c:v>
                </c:pt>
                <c:pt idx="249">
                  <c:v>-118.16418310176455</c:v>
                </c:pt>
                <c:pt idx="250">
                  <c:v>-118.178996779825</c:v>
                </c:pt>
                <c:pt idx="251">
                  <c:v>-118.19455197443567</c:v>
                </c:pt>
                <c:pt idx="252">
                  <c:v>-118.21083683972171</c:v>
                </c:pt>
                <c:pt idx="253">
                  <c:v>-118.22820729003456</c:v>
                </c:pt>
                <c:pt idx="254">
                  <c:v>-118.24631439633797</c:v>
                </c:pt>
                <c:pt idx="255">
                  <c:v>-118.26514628165582</c:v>
                </c:pt>
                <c:pt idx="256">
                  <c:v>-118.28469130541832</c:v>
                </c:pt>
                <c:pt idx="257">
                  <c:v>-118.30547180939939</c:v>
                </c:pt>
                <c:pt idx="258">
                  <c:v>-118.32697879933504</c:v>
                </c:pt>
                <c:pt idx="259">
                  <c:v>-118.34920044489218</c:v>
                </c:pt>
                <c:pt idx="260">
                  <c:v>-118.37212515307937</c:v>
                </c:pt>
                <c:pt idx="261">
                  <c:v>-118.39628625023963</c:v>
                </c:pt>
                <c:pt idx="262">
                  <c:v>-118.42115893830902</c:v>
                </c:pt>
                <c:pt idx="263">
                  <c:v>-118.44673154892595</c:v>
                </c:pt>
                <c:pt idx="264">
                  <c:v>-118.47299264887093</c:v>
                </c:pt>
                <c:pt idx="265">
                  <c:v>-118.50053727323356</c:v>
                </c:pt>
                <c:pt idx="266">
                  <c:v>-118.52877789411666</c:v>
                </c:pt>
                <c:pt idx="267">
                  <c:v>-118.55770302390188</c:v>
                </c:pt>
                <c:pt idx="268">
                  <c:v>-118.58730140732779</c:v>
                </c:pt>
                <c:pt idx="269">
                  <c:v>-118.61830104876199</c:v>
                </c:pt>
                <c:pt idx="270">
                  <c:v>-118.64998368705182</c:v>
                </c:pt>
                <c:pt idx="271">
                  <c:v>-118.6823379522959</c:v>
                </c:pt>
                <c:pt idx="272">
                  <c:v>-118.71535270578556</c:v>
                </c:pt>
                <c:pt idx="273">
                  <c:v>-118.74981875752066</c:v>
                </c:pt>
                <c:pt idx="274">
                  <c:v>-118.78495392153796</c:v>
                </c:pt>
                <c:pt idx="275">
                  <c:v>-118.82074696783619</c:v>
                </c:pt>
                <c:pt idx="276">
                  <c:v>-118.85718689577847</c:v>
                </c:pt>
                <c:pt idx="277">
                  <c:v>-118.89503844285527</c:v>
                </c:pt>
                <c:pt idx="278">
                  <c:v>-118.933541523917</c:v>
                </c:pt>
                <c:pt idx="279">
                  <c:v>-118.97268514248185</c:v>
                </c:pt>
                <c:pt idx="280">
                  <c:v>-119.01245852698628</c:v>
                </c:pt>
                <c:pt idx="281">
                  <c:v>-119.05395379746064</c:v>
                </c:pt>
                <c:pt idx="282">
                  <c:v>-119.09609108499617</c:v>
                </c:pt>
                <c:pt idx="283">
                  <c:v>-119.13885942290079</c:v>
                </c:pt>
                <c:pt idx="284">
                  <c:v>-119.18224807043788</c:v>
                </c:pt>
                <c:pt idx="285">
                  <c:v>-119.2271228856968</c:v>
                </c:pt>
                <c:pt idx="286">
                  <c:v>-119.2726209255927</c:v>
                </c:pt>
                <c:pt idx="287">
                  <c:v>-119.31873148902237</c:v>
                </c:pt>
                <c:pt idx="288">
                  <c:v>-119.36544409536722</c:v>
                </c:pt>
                <c:pt idx="289">
                  <c:v>-119.41397962779503</c:v>
                </c:pt>
                <c:pt idx="290">
                  <c:v>-119.46312708936983</c:v>
                </c:pt>
                <c:pt idx="291">
                  <c:v>-119.51287585213154</c:v>
                </c:pt>
                <c:pt idx="292">
                  <c:v>-119.56321550834305</c:v>
                </c:pt>
                <c:pt idx="293">
                  <c:v>-119.61531938063118</c:v>
                </c:pt>
                <c:pt idx="294">
                  <c:v>-119.66802041353556</c:v>
                </c:pt>
                <c:pt idx="295">
                  <c:v>-119.72130814053124</c:v>
                </c:pt>
                <c:pt idx="296">
                  <c:v>-119.77517231257386</c:v>
                </c:pt>
                <c:pt idx="297">
                  <c:v>-119.83083879503545</c:v>
                </c:pt>
                <c:pt idx="298">
                  <c:v>-119.88708705289838</c:v>
                </c:pt>
                <c:pt idx="299">
                  <c:v>-119.94390679657937</c:v>
                </c:pt>
                <c:pt idx="300">
                  <c:v>-120.00128795074278</c:v>
                </c:pt>
                <c:pt idx="301">
                  <c:v>-120.06050643869861</c:v>
                </c:pt>
                <c:pt idx="302">
                  <c:v>-120.12029079036316</c:v>
                </c:pt>
                <c:pt idx="303">
                  <c:v>-120.1806309064701</c:v>
                </c:pt>
                <c:pt idx="304">
                  <c:v>-120.24151689833658</c:v>
                </c:pt>
                <c:pt idx="305">
                  <c:v>-120.30451475975489</c:v>
                </c:pt>
                <c:pt idx="306">
                  <c:v>-120.36806632673749</c:v>
                </c:pt>
                <c:pt idx="307">
                  <c:v>-120.43216158826981</c:v>
                </c:pt>
                <c:pt idx="308">
                  <c:v>-120.4967907430362</c:v>
                </c:pt>
                <c:pt idx="309">
                  <c:v>-120.56332273156167</c:v>
                </c:pt>
                <c:pt idx="310">
                  <c:v>-120.63039134395885</c:v>
                </c:pt>
                <c:pt idx="311">
                  <c:v>-120.69798678821643</c:v>
                </c:pt>
                <c:pt idx="312">
                  <c:v>-120.76609947745129</c:v>
                </c:pt>
                <c:pt idx="313">
                  <c:v>-120.83639996302378</c:v>
                </c:pt>
                <c:pt idx="314">
                  <c:v>-120.90722350388714</c:v>
                </c:pt>
                <c:pt idx="315">
                  <c:v>-120.97856042961379</c:v>
                </c:pt>
                <c:pt idx="316">
                  <c:v>-121.05040127299661</c:v>
                </c:pt>
                <c:pt idx="317">
                  <c:v>-121.12446499223113</c:v>
                </c:pt>
                <c:pt idx="318">
                  <c:v>-121.1990374577634</c:v>
                </c:pt>
                <c:pt idx="319">
                  <c:v>-121.2741091378293</c:v>
                </c:pt>
                <c:pt idx="320">
                  <c:v>-121.34967070146034</c:v>
                </c:pt>
                <c:pt idx="321">
                  <c:v>-121.42748708703721</c:v>
                </c:pt>
                <c:pt idx="322">
                  <c:v>-121.5057972605632</c:v>
                </c:pt>
                <c:pt idx="323">
                  <c:v>-121.58459184395049</c:v>
                </c:pt>
                <c:pt idx="324">
                  <c:v>-121.66386165702167</c:v>
                </c:pt>
                <c:pt idx="325">
                  <c:v>-121.74541524470753</c:v>
                </c:pt>
                <c:pt idx="326">
                  <c:v>-121.82744709776304</c:v>
                </c:pt>
                <c:pt idx="327">
                  <c:v>-121.90994800482055</c:v>
                </c:pt>
                <c:pt idx="328">
                  <c:v>-121.9929089491331</c:v>
                </c:pt>
                <c:pt idx="329">
                  <c:v>-122.07832274826919</c:v>
                </c:pt>
                <c:pt idx="330">
                  <c:v>-122.16420033715684</c:v>
                </c:pt>
                <c:pt idx="331">
                  <c:v>-122.25053263742636</c:v>
                </c:pt>
                <c:pt idx="332">
                  <c:v>-122.33731076295227</c:v>
                </c:pt>
                <c:pt idx="333">
                  <c:v>-122.42642361570601</c:v>
                </c:pt>
                <c:pt idx="334">
                  <c:v>-122.51598369388536</c:v>
                </c:pt>
                <c:pt idx="335">
                  <c:v>-122.60598210959175</c:v>
                </c:pt>
                <c:pt idx="336">
                  <c:v>-122.69641016314836</c:v>
                </c:pt>
                <c:pt idx="337">
                  <c:v>-122.78949124989245</c:v>
                </c:pt>
                <c:pt idx="338">
                  <c:v>-122.88300539114479</c:v>
                </c:pt>
                <c:pt idx="339">
                  <c:v>-122.97694381438113</c:v>
                </c:pt>
                <c:pt idx="340">
                  <c:v>-123.0712979333656</c:v>
                </c:pt>
                <c:pt idx="341">
                  <c:v>-123.16833128272046</c:v>
                </c:pt>
                <c:pt idx="342">
                  <c:v>-123.265782813575</c:v>
                </c:pt>
                <c:pt idx="343">
                  <c:v>-123.36364388402652</c:v>
                </c:pt>
                <c:pt idx="344">
                  <c:v>-123.46190603608207</c:v>
                </c:pt>
                <c:pt idx="345">
                  <c:v>-123.56271666007105</c:v>
                </c:pt>
                <c:pt idx="346">
                  <c:v>-123.66392876126827</c:v>
                </c:pt>
                <c:pt idx="347">
                  <c:v>-123.765533880153</c:v>
                </c:pt>
                <c:pt idx="348">
                  <c:v>-123.86752373725847</c:v>
                </c:pt>
                <c:pt idx="349">
                  <c:v>-123.97239161000054</c:v>
                </c:pt>
                <c:pt idx="350">
                  <c:v>-124.0776461878955</c:v>
                </c:pt>
                <c:pt idx="351">
                  <c:v>-124.18327912779218</c:v>
                </c:pt>
                <c:pt idx="352">
                  <c:v>-124.2892822645973</c:v>
                </c:pt>
                <c:pt idx="353">
                  <c:v>-124.3981844646807</c:v>
                </c:pt>
                <c:pt idx="354">
                  <c:v>-124.5074579307673</c:v>
                </c:pt>
                <c:pt idx="355">
                  <c:v>-124.61709445026501</c:v>
                </c:pt>
                <c:pt idx="356">
                  <c:v>-124.72708598624382</c:v>
                </c:pt>
                <c:pt idx="357">
                  <c:v>-124.83983412150417</c:v>
                </c:pt>
                <c:pt idx="358">
                  <c:v>-124.95293649816945</c:v>
                </c:pt>
                <c:pt idx="359">
                  <c:v>-125.06638508070293</c:v>
                </c:pt>
                <c:pt idx="360">
                  <c:v>-125.18017200551839</c:v>
                </c:pt>
                <c:pt idx="361">
                  <c:v>-125.2970532075589</c:v>
                </c:pt>
                <c:pt idx="362">
                  <c:v>-125.41427315021677</c:v>
                </c:pt>
                <c:pt idx="363">
                  <c:v>-125.53182391708881</c:v>
                </c:pt>
                <c:pt idx="364">
                  <c:v>-125.64969776167165</c:v>
                </c:pt>
                <c:pt idx="365">
                  <c:v>-125.77051705898296</c:v>
                </c:pt>
                <c:pt idx="366">
                  <c:v>-125.89165810747686</c:v>
                </c:pt>
                <c:pt idx="367">
                  <c:v>-126.0131131543741</c:v>
                </c:pt>
                <c:pt idx="368">
                  <c:v>-126.1348746134987</c:v>
                </c:pt>
                <c:pt idx="369">
                  <c:v>-126.25992391863848</c:v>
                </c:pt>
                <c:pt idx="370">
                  <c:v>-126.38527920571188</c:v>
                </c:pt>
                <c:pt idx="371">
                  <c:v>-126.51093283377702</c:v>
                </c:pt>
                <c:pt idx="372">
                  <c:v>-126.63687732670982</c:v>
                </c:pt>
                <c:pt idx="373">
                  <c:v>-126.76595457183741</c:v>
                </c:pt>
                <c:pt idx="374">
                  <c:v>-126.8953206441353</c:v>
                </c:pt>
                <c:pt idx="375">
                  <c:v>-127.0249680570345</c:v>
                </c:pt>
                <c:pt idx="376">
                  <c:v>-127.15488948582235</c:v>
                </c:pt>
                <c:pt idx="377">
                  <c:v>-127.28828934378005</c:v>
                </c:pt>
                <c:pt idx="378">
                  <c:v>-127.42196182222089</c:v>
                </c:pt>
                <c:pt idx="379">
                  <c:v>-127.5558995427014</c:v>
                </c:pt>
                <c:pt idx="380">
                  <c:v>-127.6900952870555</c:v>
                </c:pt>
                <c:pt idx="381">
                  <c:v>-127.82743785701702</c:v>
                </c:pt>
                <c:pt idx="382">
                  <c:v>-127.96503494219803</c:v>
                </c:pt>
                <c:pt idx="383">
                  <c:v>-128.10287933946157</c:v>
                </c:pt>
                <c:pt idx="384">
                  <c:v>-128.24096400249385</c:v>
                </c:pt>
                <c:pt idx="385">
                  <c:v>-128.38271289935301</c:v>
                </c:pt>
                <c:pt idx="386">
                  <c:v>-128.52469962279412</c:v>
                </c:pt>
                <c:pt idx="387">
                  <c:v>-128.66691707552107</c:v>
                </c:pt>
                <c:pt idx="388">
                  <c:v>-128.80935831569118</c:v>
                </c:pt>
                <c:pt idx="389">
                  <c:v>-128.95529656683306</c:v>
                </c:pt>
                <c:pt idx="390">
                  <c:v>-129.10145479119845</c:v>
                </c:pt>
                <c:pt idx="391">
                  <c:v>-129.247826036238</c:v>
                </c:pt>
                <c:pt idx="392">
                  <c:v>-129.39440350244786</c:v>
                </c:pt>
                <c:pt idx="393">
                  <c:v>-129.54447919111394</c:v>
                </c:pt>
                <c:pt idx="394">
                  <c:v>-129.6947565640917</c:v>
                </c:pt>
                <c:pt idx="395">
                  <c:v>-129.84522882405335</c:v>
                </c:pt>
                <c:pt idx="396">
                  <c:v>-129.99588932409981</c:v>
                </c:pt>
                <c:pt idx="397">
                  <c:v>-130.15039583580199</c:v>
                </c:pt>
                <c:pt idx="398">
                  <c:v>-130.30508618905952</c:v>
                </c:pt>
                <c:pt idx="399">
                  <c:v>-130.45995370660734</c:v>
                </c:pt>
                <c:pt idx="400">
                  <c:v>-130.61499186014413</c:v>
                </c:pt>
                <c:pt idx="401">
                  <c:v>-130.77369955367109</c:v>
                </c:pt>
                <c:pt idx="402">
                  <c:v>-130.93257232721177</c:v>
                </c:pt>
                <c:pt idx="403">
                  <c:v>-131.09160365876923</c:v>
                </c:pt>
                <c:pt idx="404">
                  <c:v>-131.25078717293701</c:v>
                </c:pt>
                <c:pt idx="405">
                  <c:v>-131.4138113858437</c:v>
                </c:pt>
                <c:pt idx="406">
                  <c:v>-131.57698186822907</c:v>
                </c:pt>
                <c:pt idx="407">
                  <c:v>-131.74029224320347</c:v>
                </c:pt>
                <c:pt idx="408">
                  <c:v>-131.90373627854277</c:v>
                </c:pt>
                <c:pt idx="409">
                  <c:v>-132.0711913418437</c:v>
                </c:pt>
                <c:pt idx="410">
                  <c:v>-132.23877371542966</c:v>
                </c:pt>
                <c:pt idx="411">
                  <c:v>-132.40647715994672</c:v>
                </c:pt>
                <c:pt idx="412">
                  <c:v>-132.57429557918019</c:v>
                </c:pt>
                <c:pt idx="413">
                  <c:v>-132.74611720625506</c:v>
                </c:pt>
                <c:pt idx="414">
                  <c:v>-132.91804673156258</c:v>
                </c:pt>
                <c:pt idx="415">
                  <c:v>-133.090078066763</c:v>
                </c:pt>
                <c:pt idx="416">
                  <c:v>-133.26220526490792</c:v>
                </c:pt>
                <c:pt idx="417">
                  <c:v>-133.43850285836064</c:v>
                </c:pt>
                <c:pt idx="418">
                  <c:v>-133.61488873678539</c:v>
                </c:pt>
                <c:pt idx="419">
                  <c:v>-133.79135695777401</c:v>
                </c:pt>
                <c:pt idx="420">
                  <c:v>-133.96790171893014</c:v>
                </c:pt>
                <c:pt idx="421">
                  <c:v>-134.14842711153352</c:v>
                </c:pt>
                <c:pt idx="422">
                  <c:v>-134.32902064393434</c:v>
                </c:pt>
                <c:pt idx="423">
                  <c:v>-134.5096765506525</c:v>
                </c:pt>
                <c:pt idx="424">
                  <c:v>-134.69038920409216</c:v>
                </c:pt>
                <c:pt idx="425">
                  <c:v>-134.87560164205593</c:v>
                </c:pt>
                <c:pt idx="426">
                  <c:v>-135.06086212136657</c:v>
                </c:pt>
                <c:pt idx="427">
                  <c:v>-135.24616501665844</c:v>
                </c:pt>
                <c:pt idx="428">
                  <c:v>-135.43150483974765</c:v>
                </c:pt>
                <c:pt idx="429">
                  <c:v>-135.62115025887698</c:v>
                </c:pt>
                <c:pt idx="430">
                  <c:v>-135.81082313230746</c:v>
                </c:pt>
                <c:pt idx="431">
                  <c:v>-136.00051800707561</c:v>
                </c:pt>
                <c:pt idx="432">
                  <c:v>-136.19022956594321</c:v>
                </c:pt>
                <c:pt idx="433">
                  <c:v>-136.38422816617773</c:v>
                </c:pt>
                <c:pt idx="434">
                  <c:v>-136.57823338633264</c:v>
                </c:pt>
                <c:pt idx="435">
                  <c:v>-136.77223996003735</c:v>
                </c:pt>
                <c:pt idx="436">
                  <c:v>-136.96624275501242</c:v>
                </c:pt>
                <c:pt idx="437">
                  <c:v>-137.16486825134913</c:v>
                </c:pt>
                <c:pt idx="438">
                  <c:v>-137.36347931382051</c:v>
                </c:pt>
                <c:pt idx="439">
                  <c:v>-137.56207084917986</c:v>
                </c:pt>
                <c:pt idx="440">
                  <c:v>-137.76063789742327</c:v>
                </c:pt>
                <c:pt idx="441">
                  <c:v>-137.96380481999682</c:v>
                </c:pt>
                <c:pt idx="442">
                  <c:v>-138.16693600421306</c:v>
                </c:pt>
                <c:pt idx="443">
                  <c:v>-138.37002654709605</c:v>
                </c:pt>
                <c:pt idx="444">
                  <c:v>-138.57307167784182</c:v>
                </c:pt>
                <c:pt idx="445">
                  <c:v>-138.78069179024092</c:v>
                </c:pt>
                <c:pt idx="446">
                  <c:v>-138.98825471152895</c:v>
                </c:pt>
                <c:pt idx="447">
                  <c:v>-139.19575574547699</c:v>
                </c:pt>
                <c:pt idx="448">
                  <c:v>-139.40319032675569</c:v>
                </c:pt>
                <c:pt idx="449">
                  <c:v>-139.61552841795375</c:v>
                </c:pt>
                <c:pt idx="450">
                  <c:v>-139.82778754734937</c:v>
                </c:pt>
                <c:pt idx="451">
                  <c:v>-140.03996321907644</c:v>
                </c:pt>
                <c:pt idx="452">
                  <c:v>-140.25205106756684</c:v>
                </c:pt>
                <c:pt idx="453">
                  <c:v>-140.46883562152703</c:v>
                </c:pt>
                <c:pt idx="454">
                  <c:v>-140.68551950897935</c:v>
                </c:pt>
                <c:pt idx="455">
                  <c:v>-140.90209846399446</c:v>
                </c:pt>
                <c:pt idx="456">
                  <c:v>-141.11856834967287</c:v>
                </c:pt>
                <c:pt idx="457">
                  <c:v>-141.3400582397359</c:v>
                </c:pt>
                <c:pt idx="458">
                  <c:v>-141.56142544903093</c:v>
                </c:pt>
                <c:pt idx="459">
                  <c:v>-141.78266593905667</c:v>
                </c:pt>
                <c:pt idx="460">
                  <c:v>-142.0037757996796</c:v>
                </c:pt>
                <c:pt idx="461">
                  <c:v>-142.22987215473248</c:v>
                </c:pt>
                <c:pt idx="462">
                  <c:v>-142.45582387004706</c:v>
                </c:pt>
                <c:pt idx="463">
                  <c:v>-142.68162715438999</c:v>
                </c:pt>
                <c:pt idx="464">
                  <c:v>-142.90727834396759</c:v>
                </c:pt>
                <c:pt idx="465">
                  <c:v>-143.13805705692761</c:v>
                </c:pt>
                <c:pt idx="466">
                  <c:v>-143.36866909265126</c:v>
                </c:pt>
                <c:pt idx="467">
                  <c:v>-143.59911091828857</c:v>
                </c:pt>
                <c:pt idx="468">
                  <c:v>-143.82937912762054</c:v>
                </c:pt>
                <c:pt idx="469">
                  <c:v>-144.064737607464</c:v>
                </c:pt>
                <c:pt idx="470">
                  <c:v>-144.29990761082439</c:v>
                </c:pt>
                <c:pt idx="471">
                  <c:v>-144.53488588343274</c:v>
                </c:pt>
                <c:pt idx="472">
                  <c:v>-144.76966929654702</c:v>
                </c:pt>
                <c:pt idx="473">
                  <c:v>-145.0098544437526</c:v>
                </c:pt>
                <c:pt idx="474">
                  <c:v>-145.24982906539188</c:v>
                </c:pt>
                <c:pt idx="475">
                  <c:v>-145.48959019234516</c:v>
                </c:pt>
                <c:pt idx="476">
                  <c:v>-145.72913498033594</c:v>
                </c:pt>
                <c:pt idx="477">
                  <c:v>-145.97404001256754</c:v>
                </c:pt>
                <c:pt idx="478">
                  <c:v>-146.21871285725422</c:v>
                </c:pt>
                <c:pt idx="479">
                  <c:v>-146.46315085258846</c:v>
                </c:pt>
                <c:pt idx="480">
                  <c:v>-146.70735146055483</c:v>
                </c:pt>
                <c:pt idx="481">
                  <c:v>-146.95686981063363</c:v>
                </c:pt>
                <c:pt idx="482">
                  <c:v>-147.20613484160972</c:v>
                </c:pt>
                <c:pt idx="483">
                  <c:v>-147.45514421996577</c:v>
                </c:pt>
                <c:pt idx="484">
                  <c:v>-147.70389573454744</c:v>
                </c:pt>
                <c:pt idx="485">
                  <c:v>-147.95809468261194</c:v>
                </c:pt>
                <c:pt idx="486">
                  <c:v>-148.21201947681243</c:v>
                </c:pt>
                <c:pt idx="487">
                  <c:v>-148.4656681276289</c:v>
                </c:pt>
                <c:pt idx="488">
                  <c:v>-148.71903876640903</c:v>
                </c:pt>
                <c:pt idx="489">
                  <c:v>-148.97815629171996</c:v>
                </c:pt>
                <c:pt idx="490">
                  <c:v>-149.23697881020138</c:v>
                </c:pt>
                <c:pt idx="491">
                  <c:v>-149.49550469016239</c:v>
                </c:pt>
                <c:pt idx="492">
                  <c:v>-149.75373241946917</c:v>
                </c:pt>
                <c:pt idx="493">
                  <c:v>-150.01765934345923</c:v>
                </c:pt>
                <c:pt idx="494">
                  <c:v>-150.28127124509086</c:v>
                </c:pt>
                <c:pt idx="495">
                  <c:v>-150.54456687274259</c:v>
                </c:pt>
                <c:pt idx="496">
                  <c:v>-150.80754509251094</c:v>
                </c:pt>
                <c:pt idx="497">
                  <c:v>-151.07634515480234</c:v>
                </c:pt>
                <c:pt idx="498">
                  <c:v>-151.34481074717272</c:v>
                </c:pt>
                <c:pt idx="499">
                  <c:v>-151.61294101678959</c:v>
                </c:pt>
                <c:pt idx="500">
                  <c:v>-151.88073522643367</c:v>
                </c:pt>
                <c:pt idx="501">
                  <c:v>-152.15447182844221</c:v>
                </c:pt>
                <c:pt idx="502">
                  <c:v>-152.42785519008956</c:v>
                </c:pt>
                <c:pt idx="503">
                  <c:v>-152.70088487649403</c:v>
                </c:pt>
                <c:pt idx="504">
                  <c:v>-152.97356056593759</c:v>
                </c:pt>
                <c:pt idx="505">
                  <c:v>-153.25212844229944</c:v>
                </c:pt>
                <c:pt idx="506">
                  <c:v>-153.53032555230789</c:v>
                </c:pt>
                <c:pt idx="507">
                  <c:v>-153.80815189816752</c:v>
                </c:pt>
                <c:pt idx="508">
                  <c:v>-154.08560759210596</c:v>
                </c:pt>
                <c:pt idx="509">
                  <c:v>-154.36907371626043</c:v>
                </c:pt>
                <c:pt idx="510">
                  <c:v>-154.6521524849208</c:v>
                </c:pt>
                <c:pt idx="511">
                  <c:v>-154.93484435441709</c:v>
                </c:pt>
                <c:pt idx="512">
                  <c:v>-155.2171498874778</c:v>
                </c:pt>
                <c:pt idx="513">
                  <c:v>-155.5057496007467</c:v>
                </c:pt>
                <c:pt idx="514">
                  <c:v>-155.7939459603692</c:v>
                </c:pt>
                <c:pt idx="515">
                  <c:v>-156.08173989479005</c:v>
                </c:pt>
                <c:pt idx="516">
                  <c:v>-156.36913243487911</c:v>
                </c:pt>
                <c:pt idx="517">
                  <c:v>-156.6627671638297</c:v>
                </c:pt>
                <c:pt idx="518">
                  <c:v>-156.95598418623575</c:v>
                </c:pt>
                <c:pt idx="519">
                  <c:v>-157.24878491696586</c:v>
                </c:pt>
                <c:pt idx="520">
                  <c:v>-157.54117086839719</c:v>
                </c:pt>
                <c:pt idx="521">
                  <c:v>-157.83991344940884</c:v>
                </c:pt>
                <c:pt idx="522">
                  <c:v>-158.13822528045014</c:v>
                </c:pt>
                <c:pt idx="523">
                  <c:v>-158.43610827587977</c:v>
                </c:pt>
                <c:pt idx="524">
                  <c:v>-158.73356444184645</c:v>
                </c:pt>
                <c:pt idx="525">
                  <c:v>-159.03749090849081</c:v>
                </c:pt>
                <c:pt idx="526">
                  <c:v>-159.34097501328498</c:v>
                </c:pt>
                <c:pt idx="527">
                  <c:v>-159.64401918056606</c:v>
                </c:pt>
                <c:pt idx="528">
                  <c:v>-159.94662591981719</c:v>
                </c:pt>
                <c:pt idx="529">
                  <c:v>-160.25581612727041</c:v>
                </c:pt>
                <c:pt idx="530">
                  <c:v>-160.56455390909065</c:v>
                </c:pt>
                <c:pt idx="531">
                  <c:v>-160.87284220673425</c:v>
                </c:pt>
                <c:pt idx="532">
                  <c:v>-161.18068403910252</c:v>
                </c:pt>
                <c:pt idx="533">
                  <c:v>-161.4953845412789</c:v>
                </c:pt>
                <c:pt idx="534">
                  <c:v>-161.80962373516456</c:v>
                </c:pt>
                <c:pt idx="535">
                  <c:v>-162.12340508768594</c:v>
                </c:pt>
                <c:pt idx="536">
                  <c:v>-162.43673213445197</c:v>
                </c:pt>
                <c:pt idx="537">
                  <c:v>-162.75670675946969</c:v>
                </c:pt>
                <c:pt idx="538">
                  <c:v>-163.07621389858528</c:v>
                </c:pt>
                <c:pt idx="539">
                  <c:v>-163.3952575312484</c:v>
                </c:pt>
                <c:pt idx="540">
                  <c:v>-163.71384169519447</c:v>
                </c:pt>
                <c:pt idx="541">
                  <c:v>-164.03950891071582</c:v>
                </c:pt>
                <c:pt idx="542">
                  <c:v>-164.36470334114821</c:v>
                </c:pt>
                <c:pt idx="543">
                  <c:v>-164.68942948195482</c:v>
                </c:pt>
                <c:pt idx="544">
                  <c:v>-165.01369187521129</c:v>
                </c:pt>
                <c:pt idx="545">
                  <c:v>-165.34499031802585</c:v>
                </c:pt>
                <c:pt idx="546">
                  <c:v>-165.67581303140136</c:v>
                </c:pt>
                <c:pt idx="547">
                  <c:v>-166.00616500490545</c:v>
                </c:pt>
                <c:pt idx="548">
                  <c:v>-166.33605126124078</c:v>
                </c:pt>
                <c:pt idx="549">
                  <c:v>-166.67308822029824</c:v>
                </c:pt>
                <c:pt idx="550">
                  <c:v>-167.00964840178847</c:v>
                </c:pt>
                <c:pt idx="551">
                  <c:v>-167.34573726474576</c:v>
                </c:pt>
                <c:pt idx="552">
                  <c:v>-167.68136028600543</c:v>
                </c:pt>
                <c:pt idx="553">
                  <c:v>-168.02440734779049</c:v>
                </c:pt>
                <c:pt idx="554">
                  <c:v>-168.36697802604905</c:v>
                </c:pt>
                <c:pt idx="555">
                  <c:v>-168.70907822273347</c:v>
                </c:pt>
                <c:pt idx="556">
                  <c:v>-169.0507138402233</c:v>
                </c:pt>
                <c:pt idx="557">
                  <c:v>-169.74859003741895</c:v>
                </c:pt>
                <c:pt idx="558">
                  <c:v>-170.44459485182136</c:v>
                </c:pt>
                <c:pt idx="559">
                  <c:v>-171.15466908454289</c:v>
                </c:pt>
                <c:pt idx="560">
                  <c:v>-171.86289078621925</c:v>
                </c:pt>
                <c:pt idx="561">
                  <c:v>-172.58605147200072</c:v>
                </c:pt>
                <c:pt idx="562">
                  <c:v>-173.30738114963438</c:v>
                </c:pt>
                <c:pt idx="563">
                  <c:v>-174.04235618520821</c:v>
                </c:pt>
                <c:pt idx="564">
                  <c:v>-174.77553418625266</c:v>
                </c:pt>
                <c:pt idx="565">
                  <c:v>-175.52538784701494</c:v>
                </c:pt>
                <c:pt idx="566">
                  <c:v>-176.27346834626701</c:v>
                </c:pt>
                <c:pt idx="567">
                  <c:v>-177.03816335080421</c:v>
                </c:pt>
                <c:pt idx="568">
                  <c:v>-177.80111285084561</c:v>
                </c:pt>
                <c:pt idx="569">
                  <c:v>-178.57758011956753</c:v>
                </c:pt>
                <c:pt idx="570">
                  <c:v>-179.35234398651403</c:v>
                </c:pt>
                <c:pt idx="571">
                  <c:v>-180.14665668653097</c:v>
                </c:pt>
                <c:pt idx="572">
                  <c:v>-180.93927960391892</c:v>
                </c:pt>
                <c:pt idx="573">
                  <c:v>-181.74534157026881</c:v>
                </c:pt>
                <c:pt idx="574">
                  <c:v>-182.54974797912891</c:v>
                </c:pt>
                <c:pt idx="575">
                  <c:v>-183.37356819613134</c:v>
                </c:pt>
                <c:pt idx="576">
                  <c:v>-184.19573301288236</c:v>
                </c:pt>
                <c:pt idx="577">
                  <c:v>-187.65884259125835</c:v>
                </c:pt>
                <c:pt idx="578">
                  <c:v>-191.09452657808481</c:v>
                </c:pt>
                <c:pt idx="579">
                  <c:v>-198.52439289131999</c:v>
                </c:pt>
                <c:pt idx="580">
                  <c:v>-206.48628112514029</c:v>
                </c:pt>
                <c:pt idx="581">
                  <c:v>-214.87906368368195</c:v>
                </c:pt>
                <c:pt idx="582">
                  <c:v>-223.51242956669898</c:v>
                </c:pt>
                <c:pt idx="583">
                  <c:v>-232.08480210385488</c:v>
                </c:pt>
                <c:pt idx="584">
                  <c:v>-240.26021120867063</c:v>
                </c:pt>
                <c:pt idx="585">
                  <c:v>-247.72534177388556</c:v>
                </c:pt>
                <c:pt idx="586">
                  <c:v>-254.27319090292781</c:v>
                </c:pt>
                <c:pt idx="587">
                  <c:v>-259.81974183458908</c:v>
                </c:pt>
                <c:pt idx="588">
                  <c:v>-264.37505041821117</c:v>
                </c:pt>
                <c:pt idx="589">
                  <c:v>-268.02430379539805</c:v>
                </c:pt>
                <c:pt idx="590">
                  <c:v>-270.8792351454897</c:v>
                </c:pt>
                <c:pt idx="591">
                  <c:v>-273.06236441948658</c:v>
                </c:pt>
                <c:pt idx="592">
                  <c:v>-274.69100186247078</c:v>
                </c:pt>
                <c:pt idx="593">
                  <c:v>-275.87197720821871</c:v>
                </c:pt>
                <c:pt idx="594">
                  <c:v>-276.69783080758157</c:v>
                </c:pt>
                <c:pt idx="595">
                  <c:v>-277.24799037778939</c:v>
                </c:pt>
                <c:pt idx="596">
                  <c:v>-277.58881102930735</c:v>
                </c:pt>
                <c:pt idx="597">
                  <c:v>-277.77535995014904</c:v>
                </c:pt>
                <c:pt idx="598">
                  <c:v>-277.85255670295652</c:v>
                </c:pt>
                <c:pt idx="599">
                  <c:v>-277.85680734434163</c:v>
                </c:pt>
                <c:pt idx="600">
                  <c:v>-277.81726777110242</c:v>
                </c:pt>
              </c:numCache>
            </c:numRef>
          </c:yVal>
          <c:smooth val="0"/>
          <c:extLst>
            <c:ext xmlns:c16="http://schemas.microsoft.com/office/drawing/2014/chart" uri="{C3380CC4-5D6E-409C-BE32-E72D297353CC}">
              <c16:uniqueId val="{00000001-1839-4D61-A0B5-FA68D8BCC26F}"/>
            </c:ext>
          </c:extLst>
        </c:ser>
        <c:dLbls>
          <c:showLegendKey val="0"/>
          <c:showVal val="0"/>
          <c:showCatName val="0"/>
          <c:showSerName val="0"/>
          <c:showPercent val="0"/>
          <c:showBubbleSize val="0"/>
        </c:dLbls>
        <c:axId val="235401984"/>
        <c:axId val="235403520"/>
      </c:scatterChart>
      <c:valAx>
        <c:axId val="235397888"/>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35399808"/>
        <c:crossesAt val="-40"/>
        <c:crossBetween val="midCat"/>
        <c:majorUnit val="10"/>
        <c:minorUnit val="10"/>
      </c:valAx>
      <c:valAx>
        <c:axId val="235399808"/>
        <c:scaling>
          <c:orientation val="minMax"/>
          <c:max val="15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235397888"/>
        <c:crossesAt val="0.1"/>
        <c:crossBetween val="midCat"/>
        <c:majorUnit val="20"/>
        <c:minorUnit val="4"/>
      </c:valAx>
      <c:valAx>
        <c:axId val="235401984"/>
        <c:scaling>
          <c:logBase val="10"/>
          <c:orientation val="minMax"/>
        </c:scaling>
        <c:delete val="1"/>
        <c:axPos val="t"/>
        <c:numFmt formatCode="General" sourceLinked="1"/>
        <c:majorTickMark val="out"/>
        <c:minorTickMark val="none"/>
        <c:tickLblPos val="none"/>
        <c:crossAx val="235403520"/>
        <c:crossesAt val="0"/>
        <c:crossBetween val="midCat"/>
      </c:valAx>
      <c:valAx>
        <c:axId val="23540352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23540198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LM5143-Q1 Bode Plot</a:t>
            </a:r>
          </a:p>
        </c:rich>
      </c:tx>
      <c:layout>
        <c:manualLayout>
          <c:xMode val="edge"/>
          <c:yMode val="edge"/>
          <c:x val="0.38532555879494657"/>
          <c:y val="2.4449846994932085E-2"/>
        </c:manualLayout>
      </c:layout>
      <c:overlay val="0"/>
      <c:spPr>
        <a:noFill/>
        <a:ln w="25400">
          <a:noFill/>
        </a:ln>
      </c:spPr>
    </c:title>
    <c:autoTitleDeleted val="0"/>
    <c:plotArea>
      <c:layout>
        <c:manualLayout>
          <c:layoutTarget val="inner"/>
          <c:xMode val="edge"/>
          <c:yMode val="edge"/>
          <c:x val="0.10349854227405264"/>
          <c:y val="9.5803642121931945E-2"/>
          <c:w val="0.80272108843537593"/>
          <c:h val="0.71734049943922984"/>
        </c:manualLayout>
      </c:layout>
      <c:scatterChart>
        <c:scatterStyle val="smoothMarker"/>
        <c:varyColors val="0"/>
        <c:ser>
          <c:idx val="0"/>
          <c:order val="0"/>
          <c:tx>
            <c:strRef>
              <c:f>'Stability Calculations'!$U$12</c:f>
              <c:strCache>
                <c:ptCount val="1"/>
                <c:pt idx="0">
                  <c:v>Gain (dB)</c:v>
                </c:pt>
              </c:strCache>
            </c:strRef>
          </c:tx>
          <c:spPr>
            <a:ln w="2540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101.50811174328545</c:v>
                </c:pt>
                <c:pt idx="1">
                  <c:v>101.42267904357782</c:v>
                </c:pt>
                <c:pt idx="2">
                  <c:v>101.32215060808099</c:v>
                </c:pt>
                <c:pt idx="3">
                  <c:v>101.20429715626393</c:v>
                </c:pt>
                <c:pt idx="4">
                  <c:v>101.06681494883253</c:v>
                </c:pt>
                <c:pt idx="5">
                  <c:v>100.90693395564537</c:v>
                </c:pt>
                <c:pt idx="6">
                  <c:v>100.72226173271127</c:v>
                </c:pt>
                <c:pt idx="7">
                  <c:v>100.51009336423778</c:v>
                </c:pt>
                <c:pt idx="8">
                  <c:v>100.26811557124711</c:v>
                </c:pt>
                <c:pt idx="9">
                  <c:v>99.993897041755474</c:v>
                </c:pt>
                <c:pt idx="10">
                  <c:v>99.685676254953975</c:v>
                </c:pt>
                <c:pt idx="11">
                  <c:v>99.341957647154103</c:v>
                </c:pt>
                <c:pt idx="12">
                  <c:v>98.961607225334177</c:v>
                </c:pt>
                <c:pt idx="13">
                  <c:v>98.544657165122018</c:v>
                </c:pt>
                <c:pt idx="14">
                  <c:v>98.091067931339381</c:v>
                </c:pt>
                <c:pt idx="15">
                  <c:v>97.601883256584458</c:v>
                </c:pt>
                <c:pt idx="16">
                  <c:v>97.078491005847525</c:v>
                </c:pt>
                <c:pt idx="17">
                  <c:v>96.522848886576327</c:v>
                </c:pt>
                <c:pt idx="18">
                  <c:v>95.937017339929</c:v>
                </c:pt>
                <c:pt idx="19">
                  <c:v>95.3236047971007</c:v>
                </c:pt>
                <c:pt idx="20">
                  <c:v>94.685061923162635</c:v>
                </c:pt>
                <c:pt idx="21">
                  <c:v>94.024110502052807</c:v>
                </c:pt>
                <c:pt idx="22">
                  <c:v>93.343137479945653</c:v>
                </c:pt>
                <c:pt idx="23">
                  <c:v>92.644714033942392</c:v>
                </c:pt>
                <c:pt idx="24">
                  <c:v>91.930895864033104</c:v>
                </c:pt>
                <c:pt idx="25">
                  <c:v>91.203829206766912</c:v>
                </c:pt>
                <c:pt idx="26">
                  <c:v>90.46517266803356</c:v>
                </c:pt>
                <c:pt idx="27">
                  <c:v>89.716783189865367</c:v>
                </c:pt>
                <c:pt idx="28">
                  <c:v>88.960056553386252</c:v>
                </c:pt>
                <c:pt idx="29">
                  <c:v>88.196704220833126</c:v>
                </c:pt>
                <c:pt idx="30">
                  <c:v>87.426491874664137</c:v>
                </c:pt>
                <c:pt idx="31">
                  <c:v>86.65139280945931</c:v>
                </c:pt>
                <c:pt idx="32">
                  <c:v>85.87164437574495</c:v>
                </c:pt>
                <c:pt idx="33">
                  <c:v>85.08843978962696</c:v>
                </c:pt>
                <c:pt idx="34">
                  <c:v>84.301701576054029</c:v>
                </c:pt>
                <c:pt idx="35">
                  <c:v>83.512299602618313</c:v>
                </c:pt>
                <c:pt idx="36">
                  <c:v>82.720454457914315</c:v>
                </c:pt>
                <c:pt idx="37">
                  <c:v>81.926000109698066</c:v>
                </c:pt>
                <c:pt idx="38">
                  <c:v>81.129883408874107</c:v>
                </c:pt>
                <c:pt idx="39">
                  <c:v>80.331587353543057</c:v>
                </c:pt>
                <c:pt idx="40">
                  <c:v>79.531473831755648</c:v>
                </c:pt>
                <c:pt idx="41">
                  <c:v>78.729473138621771</c:v>
                </c:pt>
                <c:pt idx="42">
                  <c:v>77.925633129926752</c:v>
                </c:pt>
                <c:pt idx="43">
                  <c:v>77.119590576720881</c:v>
                </c:pt>
                <c:pt idx="44">
                  <c:v>76.31136527694116</c:v>
                </c:pt>
                <c:pt idx="45">
                  <c:v>75.500527040026583</c:v>
                </c:pt>
                <c:pt idx="46">
                  <c:v>74.686892613399309</c:v>
                </c:pt>
                <c:pt idx="47">
                  <c:v>73.869850801229632</c:v>
                </c:pt>
                <c:pt idx="48">
                  <c:v>73.049067150866392</c:v>
                </c:pt>
                <c:pt idx="49">
                  <c:v>72.223683988913237</c:v>
                </c:pt>
                <c:pt idx="50">
                  <c:v>71.393053408706834</c:v>
                </c:pt>
                <c:pt idx="51">
                  <c:v>70.556063549991407</c:v>
                </c:pt>
                <c:pt idx="52">
                  <c:v>69.711905526659578</c:v>
                </c:pt>
                <c:pt idx="53">
                  <c:v>68.85930100404309</c:v>
                </c:pt>
                <c:pt idx="54">
                  <c:v>67.997356641130281</c:v>
                </c:pt>
                <c:pt idx="55">
                  <c:v>67.122978181207188</c:v>
                </c:pt>
                <c:pt idx="56">
                  <c:v>66.235542552106992</c:v>
                </c:pt>
                <c:pt idx="57">
                  <c:v>65.332415819687299</c:v>
                </c:pt>
                <c:pt idx="58">
                  <c:v>64.41202879099545</c:v>
                </c:pt>
                <c:pt idx="59">
                  <c:v>63.471304360575587</c:v>
                </c:pt>
                <c:pt idx="60">
                  <c:v>62.508295230085352</c:v>
                </c:pt>
                <c:pt idx="61">
                  <c:v>61.520355453469165</c:v>
                </c:pt>
                <c:pt idx="62">
                  <c:v>60.504480504716938</c:v>
                </c:pt>
                <c:pt idx="63">
                  <c:v>59.459340302349695</c:v>
                </c:pt>
                <c:pt idx="64">
                  <c:v>58.382076220088493</c:v>
                </c:pt>
                <c:pt idx="65">
                  <c:v>57.271453442742683</c:v>
                </c:pt>
                <c:pt idx="66">
                  <c:v>56.12625252101823</c:v>
                </c:pt>
                <c:pt idx="67">
                  <c:v>54.946104141386122</c:v>
                </c:pt>
                <c:pt idx="68">
                  <c:v>53.730778296414734</c:v>
                </c:pt>
                <c:pt idx="69">
                  <c:v>52.481386128926758</c:v>
                </c:pt>
                <c:pt idx="70">
                  <c:v>51.199120982690303</c:v>
                </c:pt>
                <c:pt idx="71">
                  <c:v>49.886286677880577</c:v>
                </c:pt>
                <c:pt idx="72">
                  <c:v>48.545164016920268</c:v>
                </c:pt>
                <c:pt idx="73">
                  <c:v>47.179070114020838</c:v>
                </c:pt>
                <c:pt idx="74">
                  <c:v>45.790966471571515</c:v>
                </c:pt>
                <c:pt idx="75">
                  <c:v>44.384605230116811</c:v>
                </c:pt>
                <c:pt idx="76">
                  <c:v>42.963348971953621</c:v>
                </c:pt>
                <c:pt idx="77">
                  <c:v>41.53143590114513</c:v>
                </c:pt>
                <c:pt idx="78">
                  <c:v>40.092651079036692</c:v>
                </c:pt>
                <c:pt idx="79">
                  <c:v>38.651752620688349</c:v>
                </c:pt>
                <c:pt idx="80">
                  <c:v>37.210171865212061</c:v>
                </c:pt>
                <c:pt idx="81">
                  <c:v>35.773790058445378</c:v>
                </c:pt>
                <c:pt idx="82">
                  <c:v>34.345485388036927</c:v>
                </c:pt>
                <c:pt idx="83">
                  <c:v>32.930089690624122</c:v>
                </c:pt>
                <c:pt idx="84">
                  <c:v>31.530259372423487</c:v>
                </c:pt>
                <c:pt idx="85">
                  <c:v>30.150415826903348</c:v>
                </c:pt>
                <c:pt idx="86">
                  <c:v>28.793782695827247</c:v>
                </c:pt>
                <c:pt idx="87">
                  <c:v>27.462816924412312</c:v>
                </c:pt>
                <c:pt idx="88">
                  <c:v>26.161587820356566</c:v>
                </c:pt>
                <c:pt idx="89">
                  <c:v>24.89137294891988</c:v>
                </c:pt>
                <c:pt idx="90">
                  <c:v>23.654435020329572</c:v>
                </c:pt>
                <c:pt idx="91">
                  <c:v>22.451800311764543</c:v>
                </c:pt>
                <c:pt idx="92">
                  <c:v>21.284086291366741</c:v>
                </c:pt>
                <c:pt idx="93">
                  <c:v>20.150727017626213</c:v>
                </c:pt>
                <c:pt idx="94">
                  <c:v>19.872809485194466</c:v>
                </c:pt>
                <c:pt idx="95">
                  <c:v>19.733780460912623</c:v>
                </c:pt>
                <c:pt idx="96">
                  <c:v>19.596859335287895</c:v>
                </c:pt>
                <c:pt idx="97">
                  <c:v>19.458887310335101</c:v>
                </c:pt>
                <c:pt idx="98">
                  <c:v>19.323005121997532</c:v>
                </c:pt>
                <c:pt idx="99">
                  <c:v>19.186043660822051</c:v>
                </c:pt>
                <c:pt idx="100">
                  <c:v>19.051154644265782</c:v>
                </c:pt>
                <c:pt idx="101">
                  <c:v>18.915262610748879</c:v>
                </c:pt>
                <c:pt idx="102">
                  <c:v>18.781423142870711</c:v>
                </c:pt>
                <c:pt idx="103">
                  <c:v>18.646456289975209</c:v>
                </c:pt>
                <c:pt idx="104">
                  <c:v>18.513525738961444</c:v>
                </c:pt>
                <c:pt idx="105">
                  <c:v>18.379545230521877</c:v>
                </c:pt>
                <c:pt idx="106">
                  <c:v>18.24758222834976</c:v>
                </c:pt>
                <c:pt idx="107">
                  <c:v>18.114641272751257</c:v>
                </c:pt>
                <c:pt idx="108">
                  <c:v>17.983696752424322</c:v>
                </c:pt>
                <c:pt idx="109">
                  <c:v>17.851752003632186</c:v>
                </c:pt>
                <c:pt idx="110">
                  <c:v>17.721783243874118</c:v>
                </c:pt>
                <c:pt idx="111">
                  <c:v>17.590708552331783</c:v>
                </c:pt>
                <c:pt idx="112">
                  <c:v>17.461592497976874</c:v>
                </c:pt>
                <c:pt idx="113">
                  <c:v>17.331443150267305</c:v>
                </c:pt>
                <c:pt idx="114">
                  <c:v>17.203232806865032</c:v>
                </c:pt>
                <c:pt idx="115">
                  <c:v>17.073975235037107</c:v>
                </c:pt>
                <c:pt idx="116">
                  <c:v>16.946637407028042</c:v>
                </c:pt>
                <c:pt idx="117">
                  <c:v>16.818240758022661</c:v>
                </c:pt>
                <c:pt idx="118">
                  <c:v>16.691744899143941</c:v>
                </c:pt>
                <c:pt idx="119">
                  <c:v>16.564257496546272</c:v>
                </c:pt>
                <c:pt idx="120">
                  <c:v>16.438649932101839</c:v>
                </c:pt>
                <c:pt idx="121">
                  <c:v>16.312038831105891</c:v>
                </c:pt>
                <c:pt idx="122">
                  <c:v>16.187287029248193</c:v>
                </c:pt>
                <c:pt idx="123">
                  <c:v>16.061449363887707</c:v>
                </c:pt>
                <c:pt idx="124">
                  <c:v>15.937452919679929</c:v>
                </c:pt>
                <c:pt idx="125">
                  <c:v>15.812436840515872</c:v>
                </c:pt>
                <c:pt idx="126">
                  <c:v>15.689241987792052</c:v>
                </c:pt>
                <c:pt idx="127">
                  <c:v>15.565020890634852</c:v>
                </c:pt>
                <c:pt idx="128">
                  <c:v>15.442601305271303</c:v>
                </c:pt>
                <c:pt idx="129">
                  <c:v>15.319150372484746</c:v>
                </c:pt>
                <c:pt idx="130">
                  <c:v>15.197481483474499</c:v>
                </c:pt>
                <c:pt idx="131">
                  <c:v>15.074777511643958</c:v>
                </c:pt>
                <c:pt idx="132">
                  <c:v>15.014089688151541</c:v>
                </c:pt>
                <c:pt idx="133">
                  <c:v>14.95383633424222</c:v>
                </c:pt>
                <c:pt idx="134">
                  <c:v>14.892594390972558</c:v>
                </c:pt>
                <c:pt idx="135">
                  <c:v>14.831795059822184</c:v>
                </c:pt>
                <c:pt idx="136">
                  <c:v>14.771432076724258</c:v>
                </c:pt>
                <c:pt idx="137">
                  <c:v>14.711499301559225</c:v>
                </c:pt>
                <c:pt idx="138">
                  <c:v>14.650644521222855</c:v>
                </c:pt>
                <c:pt idx="139">
                  <c:v>14.590227099071257</c:v>
                </c:pt>
                <c:pt idx="140">
                  <c:v>14.530240849831834</c:v>
                </c:pt>
                <c:pt idx="141">
                  <c:v>14.470679710881829</c:v>
                </c:pt>
                <c:pt idx="142">
                  <c:v>14.410140320614914</c:v>
                </c:pt>
                <c:pt idx="143">
                  <c:v>14.350033964310409</c:v>
                </c:pt>
                <c:pt idx="144">
                  <c:v>14.290354517585653</c:v>
                </c:pt>
                <c:pt idx="145">
                  <c:v>14.231095977846696</c:v>
                </c:pt>
                <c:pt idx="146">
                  <c:v>14.170894274812447</c:v>
                </c:pt>
                <c:pt idx="147">
                  <c:v>14.111120868574968</c:v>
                </c:pt>
                <c:pt idx="148">
                  <c:v>14.051769706048304</c:v>
                </c:pt>
                <c:pt idx="149">
                  <c:v>13.992834854764221</c:v>
                </c:pt>
                <c:pt idx="150">
                  <c:v>13.932962145243156</c:v>
                </c:pt>
                <c:pt idx="151">
                  <c:v>13.873513031105409</c:v>
                </c:pt>
                <c:pt idx="152">
                  <c:v>13.814481531422128</c:v>
                </c:pt>
                <c:pt idx="153">
                  <c:v>13.755861784652694</c:v>
                </c:pt>
                <c:pt idx="154">
                  <c:v>13.696282511050654</c:v>
                </c:pt>
                <c:pt idx="155">
                  <c:v>13.637122548503607</c:v>
                </c:pt>
                <c:pt idx="156">
                  <c:v>13.578375980982981</c:v>
                </c:pt>
                <c:pt idx="157">
                  <c:v>13.520037010776536</c:v>
                </c:pt>
                <c:pt idx="158">
                  <c:v>13.460745586104711</c:v>
                </c:pt>
                <c:pt idx="159">
                  <c:v>13.401869185298169</c:v>
                </c:pt>
                <c:pt idx="160">
                  <c:v>13.34340195876287</c:v>
                </c:pt>
                <c:pt idx="161">
                  <c:v>13.285338174074317</c:v>
                </c:pt>
                <c:pt idx="162">
                  <c:v>13.22635505152406</c:v>
                </c:pt>
                <c:pt idx="163">
                  <c:v>13.167782306397886</c:v>
                </c:pt>
                <c:pt idx="164">
                  <c:v>13.109614164497343</c:v>
                </c:pt>
                <c:pt idx="165">
                  <c:v>13.051844967373862</c:v>
                </c:pt>
                <c:pt idx="166">
                  <c:v>12.993112613528993</c:v>
                </c:pt>
                <c:pt idx="167">
                  <c:v>12.934786717733786</c:v>
                </c:pt>
                <c:pt idx="168">
                  <c:v>12.876861567215423</c:v>
                </c:pt>
                <c:pt idx="169">
                  <c:v>12.819331563870227</c:v>
                </c:pt>
                <c:pt idx="170">
                  <c:v>12.7609692644614</c:v>
                </c:pt>
                <c:pt idx="171">
                  <c:v>12.703007799477648</c:v>
                </c:pt>
                <c:pt idx="172">
                  <c:v>12.645441554560378</c:v>
                </c:pt>
                <c:pt idx="173">
                  <c:v>12.588265027920325</c:v>
                </c:pt>
                <c:pt idx="174">
                  <c:v>12.530046011570606</c:v>
                </c:pt>
                <c:pt idx="175">
                  <c:v>12.472225250307492</c:v>
                </c:pt>
                <c:pt idx="176">
                  <c:v>12.414797165567045</c:v>
                </c:pt>
                <c:pt idx="177">
                  <c:v>12.357756290893185</c:v>
                </c:pt>
                <c:pt idx="178">
                  <c:v>12.299708779938607</c:v>
                </c:pt>
                <c:pt idx="179">
                  <c:v>12.242056486504387</c:v>
                </c:pt>
                <c:pt idx="180">
                  <c:v>12.184793878532204</c:v>
                </c:pt>
                <c:pt idx="181">
                  <c:v>12.127915535295788</c:v>
                </c:pt>
                <c:pt idx="182">
                  <c:v>12.070289986109357</c:v>
                </c:pt>
                <c:pt idx="183">
                  <c:v>12.013053175318337</c:v>
                </c:pt>
                <c:pt idx="184">
                  <c:v>11.956199690237032</c:v>
                </c:pt>
                <c:pt idx="185">
                  <c:v>11.899724226759812</c:v>
                </c:pt>
                <c:pt idx="186">
                  <c:v>11.842086722960074</c:v>
                </c:pt>
                <c:pt idx="187">
                  <c:v>11.784837267685258</c:v>
                </c:pt>
                <c:pt idx="188">
                  <c:v>11.727970447886499</c:v>
                </c:pt>
                <c:pt idx="189">
                  <c:v>11.671480959512266</c:v>
                </c:pt>
                <c:pt idx="190">
                  <c:v>11.614296247965237</c:v>
                </c:pt>
                <c:pt idx="191">
                  <c:v>11.55749261877258</c:v>
                </c:pt>
                <c:pt idx="192">
                  <c:v>11.501064789971354</c:v>
                </c:pt>
                <c:pt idx="193">
                  <c:v>11.44500758547597</c:v>
                </c:pt>
                <c:pt idx="194">
                  <c:v>11.3878607236656</c:v>
                </c:pt>
                <c:pt idx="195">
                  <c:v>11.331093459982039</c:v>
                </c:pt>
                <c:pt idx="196">
                  <c:v>11.274700530529396</c:v>
                </c:pt>
                <c:pt idx="197">
                  <c:v>11.218676777159043</c:v>
                </c:pt>
                <c:pt idx="198">
                  <c:v>11.161802357151828</c:v>
                </c:pt>
                <c:pt idx="199">
                  <c:v>11.105302893688119</c:v>
                </c:pt>
                <c:pt idx="200">
                  <c:v>11.049173207068065</c:v>
                </c:pt>
                <c:pt idx="201">
                  <c:v>10.993408221420991</c:v>
                </c:pt>
                <c:pt idx="202">
                  <c:v>10.936819607133357</c:v>
                </c:pt>
                <c:pt idx="203">
                  <c:v>10.880601106176879</c:v>
                </c:pt>
                <c:pt idx="204">
                  <c:v>10.824747627716899</c:v>
                </c:pt>
                <c:pt idx="205">
                  <c:v>10.769254182683854</c:v>
                </c:pt>
                <c:pt idx="206">
                  <c:v>10.712770754085259</c:v>
                </c:pt>
                <c:pt idx="207">
                  <c:v>10.656654914059613</c:v>
                </c:pt>
                <c:pt idx="208">
                  <c:v>10.600901613494072</c:v>
                </c:pt>
                <c:pt idx="209">
                  <c:v>10.54550590420844</c:v>
                </c:pt>
                <c:pt idx="210">
                  <c:v>10.488964958470657</c:v>
                </c:pt>
                <c:pt idx="211">
                  <c:v>10.432791127101833</c:v>
                </c:pt>
                <c:pt idx="212">
                  <c:v>10.376979361179492</c:v>
                </c:pt>
                <c:pt idx="213">
                  <c:v>10.321524712965367</c:v>
                </c:pt>
                <c:pt idx="214">
                  <c:v>10.265327495249942</c:v>
                </c:pt>
                <c:pt idx="215">
                  <c:v>10.209491688175188</c:v>
                </c:pt>
                <c:pt idx="216">
                  <c:v>10.15401235080137</c:v>
                </c:pt>
                <c:pt idx="217">
                  <c:v>10.098884640739254</c:v>
                </c:pt>
                <c:pt idx="218">
                  <c:v>10.042858745400894</c:v>
                </c:pt>
                <c:pt idx="219">
                  <c:v>9.9871907530459012</c:v>
                </c:pt>
                <c:pt idx="220">
                  <c:v>9.9318757860215801</c:v>
                </c:pt>
                <c:pt idx="221">
                  <c:v>9.8769090637627066</c:v>
                </c:pt>
                <c:pt idx="222">
                  <c:v>9.8210720658351445</c:v>
                </c:pt>
                <c:pt idx="223">
                  <c:v>9.7655892087871372</c:v>
                </c:pt>
                <c:pt idx="224">
                  <c:v>9.7104556837220706</c:v>
                </c:pt>
                <c:pt idx="225">
                  <c:v>9.6556667772073883</c:v>
                </c:pt>
                <c:pt idx="226">
                  <c:v>9.599865189755894</c:v>
                </c:pt>
                <c:pt idx="227">
                  <c:v>9.5444158831130537</c:v>
                </c:pt>
                <c:pt idx="228">
                  <c:v>9.4893140788175927</c:v>
                </c:pt>
                <c:pt idx="229">
                  <c:v>9.4345550932446791</c:v>
                </c:pt>
                <c:pt idx="230">
                  <c:v>9.3234253633025901</c:v>
                </c:pt>
                <c:pt idx="231">
                  <c:v>9.2683808184980734</c:v>
                </c:pt>
                <c:pt idx="232">
                  <c:v>9.2136769277850288</c:v>
                </c:pt>
                <c:pt idx="233">
                  <c:v>9.158022553876398</c:v>
                </c:pt>
                <c:pt idx="234">
                  <c:v>9.102715636841932</c:v>
                </c:pt>
                <c:pt idx="235">
                  <c:v>9.0477514823106979</c:v>
                </c:pt>
                <c:pt idx="236">
                  <c:v>8.9931254888364727</c:v>
                </c:pt>
                <c:pt idx="237">
                  <c:v>8.9377349842738045</c:v>
                </c:pt>
                <c:pt idx="238">
                  <c:v>8.8826871104233369</c:v>
                </c:pt>
                <c:pt idx="239">
                  <c:v>8.827977263849716</c:v>
                </c:pt>
                <c:pt idx="240">
                  <c:v>8.7736009317847472</c:v>
                </c:pt>
                <c:pt idx="241">
                  <c:v>8.7181760761789189</c:v>
                </c:pt>
                <c:pt idx="242">
                  <c:v>8.6630926760737736</c:v>
                </c:pt>
                <c:pt idx="243">
                  <c:v>8.6083461456301258</c:v>
                </c:pt>
                <c:pt idx="244">
                  <c:v>8.5539319893303087</c:v>
                </c:pt>
                <c:pt idx="245">
                  <c:v>8.4986508950862376</c:v>
                </c:pt>
                <c:pt idx="246">
                  <c:v>8.4437078502339116</c:v>
                </c:pt>
                <c:pt idx="247">
                  <c:v>8.3890983313868102</c:v>
                </c:pt>
                <c:pt idx="248">
                  <c:v>8.3348179039508121</c:v>
                </c:pt>
                <c:pt idx="249">
                  <c:v>8.2795502483057302</c:v>
                </c:pt>
                <c:pt idx="250">
                  <c:v>8.2246187882967607</c:v>
                </c:pt>
                <c:pt idx="251">
                  <c:v>8.1700190319555013</c:v>
                </c:pt>
                <c:pt idx="252">
                  <c:v>8.115746575378477</c:v>
                </c:pt>
                <c:pt idx="253">
                  <c:v>8.0606587717867555</c:v>
                </c:pt>
                <c:pt idx="254">
                  <c:v>8.0059032578441656</c:v>
                </c:pt>
                <c:pt idx="255">
                  <c:v>7.9514756139297766</c:v>
                </c:pt>
                <c:pt idx="256">
                  <c:v>7.8973715066879393</c:v>
                </c:pt>
                <c:pt idx="257">
                  <c:v>7.8421975031184976</c:v>
                </c:pt>
                <c:pt idx="258">
                  <c:v>7.7873550463452546</c:v>
                </c:pt>
                <c:pt idx="259">
                  <c:v>7.7328397261148201</c:v>
                </c:pt>
                <c:pt idx="260">
                  <c:v>7.6786472182682877</c:v>
                </c:pt>
                <c:pt idx="261">
                  <c:v>7.6235525445739674</c:v>
                </c:pt>
                <c:pt idx="262">
                  <c:v>7.5687866408273905</c:v>
                </c:pt>
                <c:pt idx="263">
                  <c:v>7.5143451465515412</c:v>
                </c:pt>
                <c:pt idx="264">
                  <c:v>7.4602237861388261</c:v>
                </c:pt>
                <c:pt idx="265">
                  <c:v>7.4052262475213562</c:v>
                </c:pt>
                <c:pt idx="266">
                  <c:v>7.3505544563288758</c:v>
                </c:pt>
                <c:pt idx="267">
                  <c:v>7.2962041066011984</c:v>
                </c:pt>
                <c:pt idx="268">
                  <c:v>7.242170975896844</c:v>
                </c:pt>
                <c:pt idx="269">
                  <c:v>7.1871571757550212</c:v>
                </c:pt>
                <c:pt idx="270">
                  <c:v>7.1324673988935423</c:v>
                </c:pt>
                <c:pt idx="271">
                  <c:v>7.078097368095186</c:v>
                </c:pt>
                <c:pt idx="272">
                  <c:v>7.0240428889720627</c:v>
                </c:pt>
                <c:pt idx="273">
                  <c:v>6.9690360495271584</c:v>
                </c:pt>
                <c:pt idx="274">
                  <c:v>6.9143511858067672</c:v>
                </c:pt>
                <c:pt idx="275">
                  <c:v>6.8599840556266454</c:v>
                </c:pt>
                <c:pt idx="276">
                  <c:v>6.8059304987771565</c:v>
                </c:pt>
                <c:pt idx="277">
                  <c:v>6.7510751736073598</c:v>
                </c:pt>
                <c:pt idx="278">
                  <c:v>6.6965380551150151</c:v>
                </c:pt>
                <c:pt idx="279">
                  <c:v>6.6423149698347652</c:v>
                </c:pt>
                <c:pt idx="280">
                  <c:v>6.5884018245568567</c:v>
                </c:pt>
                <c:pt idx="281">
                  <c:v>6.5333467084712602</c:v>
                </c:pt>
                <c:pt idx="282">
                  <c:v>6.4786100495818211</c:v>
                </c:pt>
                <c:pt idx="283">
                  <c:v>6.4241876640831155</c:v>
                </c:pt>
                <c:pt idx="284">
                  <c:v>6.3700754487281213</c:v>
                </c:pt>
                <c:pt idx="285">
                  <c:v>6.3152081436607341</c:v>
                </c:pt>
                <c:pt idx="286">
                  <c:v>6.2606550289204757</c:v>
                </c:pt>
                <c:pt idx="287">
                  <c:v>6.2064119987835467</c:v>
                </c:pt>
                <c:pt idx="288">
                  <c:v>6.1524750261281032</c:v>
                </c:pt>
                <c:pt idx="289">
                  <c:v>6.0974570245612183</c:v>
                </c:pt>
                <c:pt idx="290">
                  <c:v>6.0427527752511034</c:v>
                </c:pt>
                <c:pt idx="291">
                  <c:v>5.9883581754585027</c:v>
                </c:pt>
                <c:pt idx="292">
                  <c:v>5.9342692010045592</c:v>
                </c:pt>
                <c:pt idx="293">
                  <c:v>5.8792424558451959</c:v>
                </c:pt>
                <c:pt idx="294">
                  <c:v>5.8245273461160982</c:v>
                </c:pt>
                <c:pt idx="295">
                  <c:v>5.7701198047216415</c:v>
                </c:pt>
                <c:pt idx="296">
                  <c:v>5.7160158422544507</c:v>
                </c:pt>
                <c:pt idx="297">
                  <c:v>5.6609996836196483</c:v>
                </c:pt>
                <c:pt idx="298">
                  <c:v>5.6062927755626131</c:v>
                </c:pt>
                <c:pt idx="299">
                  <c:v>5.5518910916732445</c:v>
                </c:pt>
                <c:pt idx="300">
                  <c:v>5.4977906822321945</c:v>
                </c:pt>
                <c:pt idx="301">
                  <c:v>5.4428025804063207</c:v>
                </c:pt>
                <c:pt idx="302">
                  <c:v>5.388121102816303</c:v>
                </c:pt>
                <c:pt idx="303">
                  <c:v>5.3337422682291677</c:v>
                </c:pt>
                <c:pt idx="304">
                  <c:v>5.2796621709955991</c:v>
                </c:pt>
                <c:pt idx="305">
                  <c:v>5.2245071193303474</c:v>
                </c:pt>
                <c:pt idx="306">
                  <c:v>5.1696581750255461</c:v>
                </c:pt>
                <c:pt idx="307">
                  <c:v>5.115111360892092</c:v>
                </c:pt>
                <c:pt idx="308">
                  <c:v>5.0608627752589852</c:v>
                </c:pt>
                <c:pt idx="309">
                  <c:v>5.0057747644312904</c:v>
                </c:pt>
                <c:pt idx="310">
                  <c:v>4.9509896947748047</c:v>
                </c:pt>
                <c:pt idx="311">
                  <c:v>4.8965036443961187</c:v>
                </c:pt>
                <c:pt idx="312">
                  <c:v>4.8423127655662874</c:v>
                </c:pt>
                <c:pt idx="313">
                  <c:v>4.7871022702533548</c:v>
                </c:pt>
                <c:pt idx="314">
                  <c:v>4.7321935774319215</c:v>
                </c:pt>
                <c:pt idx="315">
                  <c:v>4.6775827810647339</c:v>
                </c:pt>
                <c:pt idx="316">
                  <c:v>4.6232660489227078</c:v>
                </c:pt>
                <c:pt idx="317">
                  <c:v>4.567956785025939</c:v>
                </c:pt>
                <c:pt idx="318">
                  <c:v>4.5129478548669821</c:v>
                </c:pt>
                <c:pt idx="319">
                  <c:v>4.45823537452981</c:v>
                </c:pt>
                <c:pt idx="320">
                  <c:v>4.4038155333974531</c:v>
                </c:pt>
                <c:pt idx="321">
                  <c:v>4.3484291410832281</c:v>
                </c:pt>
                <c:pt idx="322">
                  <c:v>4.2933413119952855</c:v>
                </c:pt>
                <c:pt idx="323">
                  <c:v>4.2385481900591353</c:v>
                </c:pt>
                <c:pt idx="324">
                  <c:v>4.1840459918524289</c:v>
                </c:pt>
                <c:pt idx="325">
                  <c:v>4.1286021552670027</c:v>
                </c:pt>
                <c:pt idx="326">
                  <c:v>4.073454836770936</c:v>
                </c:pt>
                <c:pt idx="327">
                  <c:v>4.0186002133273266</c:v>
                </c:pt>
                <c:pt idx="328">
                  <c:v>3.9640345337810152</c:v>
                </c:pt>
                <c:pt idx="329">
                  <c:v>3.9084585636551838</c:v>
                </c:pt>
                <c:pt idx="330">
                  <c:v>3.8531777962122571</c:v>
                </c:pt>
                <c:pt idx="331">
                  <c:v>3.7981884273066591</c:v>
                </c:pt>
                <c:pt idx="332">
                  <c:v>3.7434867242647076</c:v>
                </c:pt>
                <c:pt idx="333">
                  <c:v>3.6878911273243613</c:v>
                </c:pt>
                <c:pt idx="334">
                  <c:v>3.6325881612721993</c:v>
                </c:pt>
                <c:pt idx="335">
                  <c:v>3.5775740649855789</c:v>
                </c:pt>
                <c:pt idx="336">
                  <c:v>3.5228451478094467</c:v>
                </c:pt>
                <c:pt idx="337">
                  <c:v>3.4670667984771493</c:v>
                </c:pt>
                <c:pt idx="338">
                  <c:v>3.4115801557443319</c:v>
                </c:pt>
                <c:pt idx="339">
                  <c:v>3.3563814698061032</c:v>
                </c:pt>
                <c:pt idx="340">
                  <c:v>3.3014670611190922</c:v>
                </c:pt>
                <c:pt idx="341">
                  <c:v>3.2455296994963949</c:v>
                </c:pt>
                <c:pt idx="342">
                  <c:v>3.189882790239384</c:v>
                </c:pt>
                <c:pt idx="343">
                  <c:v>3.1345226012183587</c:v>
                </c:pt>
                <c:pt idx="344">
                  <c:v>3.0794454702089502</c:v>
                </c:pt>
                <c:pt idx="345">
                  <c:v>3.0234559254339199</c:v>
                </c:pt>
                <c:pt idx="346">
                  <c:v>2.9677544036632506</c:v>
                </c:pt>
                <c:pt idx="347">
                  <c:v>2.9123372130446978</c:v>
                </c:pt>
                <c:pt idx="348">
                  <c:v>2.857200730721984</c:v>
                </c:pt>
                <c:pt idx="349">
                  <c:v>2.8010068015173264</c:v>
                </c:pt>
                <c:pt idx="350">
                  <c:v>2.7450999592039715</c:v>
                </c:pt>
                <c:pt idx="351">
                  <c:v>2.689476523656178</c:v>
                </c:pt>
                <c:pt idx="352">
                  <c:v>2.6341328835539586</c:v>
                </c:pt>
                <c:pt idx="353">
                  <c:v>2.5777577046745028</c:v>
                </c:pt>
                <c:pt idx="354">
                  <c:v>2.5216683564322535</c:v>
                </c:pt>
                <c:pt idx="355">
                  <c:v>2.4658611766991654</c:v>
                </c:pt>
                <c:pt idx="356">
                  <c:v>2.410332571816773</c:v>
                </c:pt>
                <c:pt idx="357">
                  <c:v>2.3538773965013968</c:v>
                </c:pt>
                <c:pt idx="358">
                  <c:v>2.2977057012215898</c:v>
                </c:pt>
                <c:pt idx="359">
                  <c:v>2.241813862967363</c:v>
                </c:pt>
                <c:pt idx="360">
                  <c:v>2.186198326347923</c:v>
                </c:pt>
                <c:pt idx="361">
                  <c:v>2.1295206495404058</c:v>
                </c:pt>
                <c:pt idx="362">
                  <c:v>2.0731254603543228</c:v>
                </c:pt>
                <c:pt idx="363">
                  <c:v>2.0170091491531372</c:v>
                </c:pt>
                <c:pt idx="364">
                  <c:v>1.9611681737186906</c:v>
                </c:pt>
                <c:pt idx="365">
                  <c:v>1.9043672499115847</c:v>
                </c:pt>
                <c:pt idx="366">
                  <c:v>1.847846758507725</c:v>
                </c:pt>
                <c:pt idx="367">
                  <c:v>1.7916031238203203</c:v>
                </c:pt>
                <c:pt idx="368">
                  <c:v>1.7356328368804521</c:v>
                </c:pt>
                <c:pt idx="369">
                  <c:v>1.6785735686620227</c:v>
                </c:pt>
                <c:pt idx="370">
                  <c:v>1.6217939342196086</c:v>
                </c:pt>
                <c:pt idx="371">
                  <c:v>1.5652903681904793</c:v>
                </c:pt>
                <c:pt idx="372">
                  <c:v>1.5090593718266647</c:v>
                </c:pt>
                <c:pt idx="373">
                  <c:v>1.4518388479466868</c:v>
                </c:pt>
                <c:pt idx="374">
                  <c:v>1.3948961304588625</c:v>
                </c:pt>
                <c:pt idx="375">
                  <c:v>1.3382276843340304</c:v>
                </c:pt>
                <c:pt idx="376">
                  <c:v>1.2818300405693281</c:v>
                </c:pt>
                <c:pt idx="377">
                  <c:v>1.2243199063396188</c:v>
                </c:pt>
                <c:pt idx="378">
                  <c:v>1.1670869176488643</c:v>
                </c:pt>
                <c:pt idx="379">
                  <c:v>1.1101275480724173</c:v>
                </c:pt>
                <c:pt idx="380">
                  <c:v>1.053438337174786</c:v>
                </c:pt>
                <c:pt idx="381">
                  <c:v>0.99580464216548692</c:v>
                </c:pt>
                <c:pt idx="382">
                  <c:v>0.93844576216386477</c:v>
                </c:pt>
                <c:pt idx="383">
                  <c:v>0.88135821162235672</c:v>
                </c:pt>
                <c:pt idx="384">
                  <c:v>0.82453857015460874</c:v>
                </c:pt>
                <c:pt idx="385">
                  <c:v>0.76658519895165766</c:v>
                </c:pt>
                <c:pt idx="386">
                  <c:v>0.70890611067750453</c:v>
                </c:pt>
                <c:pt idx="387">
                  <c:v>0.65149782713540549</c:v>
                </c:pt>
                <c:pt idx="388">
                  <c:v>0.59435693530685318</c:v>
                </c:pt>
                <c:pt idx="389">
                  <c:v>0.53617643916942137</c:v>
                </c:pt>
                <c:pt idx="390">
                  <c:v>0.47826873910217182</c:v>
                </c:pt>
                <c:pt idx="391">
                  <c:v>0.42063038305393152</c:v>
                </c:pt>
                <c:pt idx="392">
                  <c:v>0.3632579837124843</c:v>
                </c:pt>
                <c:pt idx="393">
                  <c:v>0.30486859994533905</c:v>
                </c:pt>
                <c:pt idx="394">
                  <c:v>0.24675029168870249</c:v>
                </c:pt>
                <c:pt idx="395">
                  <c:v>0.1888996381950348</c:v>
                </c:pt>
                <c:pt idx="396">
                  <c:v>0.13131328289835761</c:v>
                </c:pt>
                <c:pt idx="397">
                  <c:v>7.2599436082556146E-2</c:v>
                </c:pt>
                <c:pt idx="398">
                  <c:v>1.4155947465395481E-2</c:v>
                </c:pt>
                <c:pt idx="399">
                  <c:v>-4.4020590492995448E-2</c:v>
                </c:pt>
                <c:pt idx="400">
                  <c:v>-0.10193352124649629</c:v>
                </c:pt>
                <c:pt idx="401">
                  <c:v>-0.1608845595173487</c:v>
                </c:pt>
                <c:pt idx="402">
                  <c:v>-0.21956682785513981</c:v>
                </c:pt>
                <c:pt idx="403">
                  <c:v>-0.2779837032615276</c:v>
                </c:pt>
                <c:pt idx="404">
                  <c:v>-0.3361384991710652</c:v>
                </c:pt>
                <c:pt idx="405">
                  <c:v>-0.395373382935722</c:v>
                </c:pt>
                <c:pt idx="406">
                  <c:v>-0.45434071779302149</c:v>
                </c:pt>
                <c:pt idx="407">
                  <c:v>-0.51304385613253967</c:v>
                </c:pt>
                <c:pt idx="408">
                  <c:v>-0.57148608713893556</c:v>
                </c:pt>
                <c:pt idx="409">
                  <c:v>-0.63104839725966344</c:v>
                </c:pt>
                <c:pt idx="410">
                  <c:v>-0.69034404882435285</c:v>
                </c:pt>
                <c:pt idx="411">
                  <c:v>-0.74937637472212892</c:v>
                </c:pt>
                <c:pt idx="412">
                  <c:v>-0.80814864486344673</c:v>
                </c:pt>
                <c:pt idx="413">
                  <c:v>-0.86801756873655189</c:v>
                </c:pt>
                <c:pt idx="414">
                  <c:v>-0.92762097019110479</c:v>
                </c:pt>
                <c:pt idx="415">
                  <c:v>-0.9869621568594561</c:v>
                </c:pt>
                <c:pt idx="416">
                  <c:v>-1.046044373759492</c:v>
                </c:pt>
                <c:pt idx="417">
                  <c:v>-1.1062611463275902</c:v>
                </c:pt>
                <c:pt idx="418">
                  <c:v>-1.1662132225409825</c:v>
                </c:pt>
                <c:pt idx="419">
                  <c:v>-1.2259038893137129</c:v>
                </c:pt>
                <c:pt idx="420">
                  <c:v>-1.2853363711905141</c:v>
                </c:pt>
                <c:pt idx="421">
                  <c:v>-1.3458207337055947</c:v>
                </c:pt>
                <c:pt idx="422">
                  <c:v>-1.4060419754683895</c:v>
                </c:pt>
                <c:pt idx="423">
                  <c:v>-1.4660033474951806</c:v>
                </c:pt>
                <c:pt idx="424">
                  <c:v>-1.5257080390583286</c:v>
                </c:pt>
                <c:pt idx="425">
                  <c:v>-1.5866188817127804</c:v>
                </c:pt>
                <c:pt idx="426">
                  <c:v>-1.6472668429161299</c:v>
                </c:pt>
                <c:pt idx="427">
                  <c:v>-1.7076551611243429</c:v>
                </c:pt>
                <c:pt idx="428">
                  <c:v>-1.7677870130847273</c:v>
                </c:pt>
                <c:pt idx="429">
                  <c:v>-1.8290430361680894</c:v>
                </c:pt>
                <c:pt idx="430">
                  <c:v>-1.8900371662461315</c:v>
                </c:pt>
                <c:pt idx="431">
                  <c:v>-1.9507726139530375</c:v>
                </c:pt>
                <c:pt idx="432">
                  <c:v>-2.0112525286372556</c:v>
                </c:pt>
                <c:pt idx="433">
                  <c:v>-2.072834353751547</c:v>
                </c:pt>
                <c:pt idx="434">
                  <c:v>-2.1341554692923914</c:v>
                </c:pt>
                <c:pt idx="435">
                  <c:v>-2.1952190530843279</c:v>
                </c:pt>
                <c:pt idx="436">
                  <c:v>-2.2560282222212455</c:v>
                </c:pt>
                <c:pt idx="437">
                  <c:v>-2.3180288118834871</c:v>
                </c:pt>
                <c:pt idx="438">
                  <c:v>-2.379769118184238</c:v>
                </c:pt>
                <c:pt idx="439">
                  <c:v>-2.4412522984566363</c:v>
                </c:pt>
                <c:pt idx="440">
                  <c:v>-2.5024814495538945</c:v>
                </c:pt>
                <c:pt idx="441">
                  <c:v>-2.5648785510642824</c:v>
                </c:pt>
                <c:pt idx="442">
                  <c:v>-2.6270160120499049</c:v>
                </c:pt>
                <c:pt idx="443">
                  <c:v>-2.6888969638678168</c:v>
                </c:pt>
                <c:pt idx="444">
                  <c:v>-2.7505244777976641</c:v>
                </c:pt>
                <c:pt idx="445">
                  <c:v>-2.8132972730937249</c:v>
                </c:pt>
                <c:pt idx="446">
                  <c:v>-2.8758112614935887</c:v>
                </c:pt>
                <c:pt idx="447">
                  <c:v>-2.9380695434429471</c:v>
                </c:pt>
                <c:pt idx="448">
                  <c:v>-3.0000751598555131</c:v>
                </c:pt>
                <c:pt idx="449">
                  <c:v>-3.0633097697928053</c:v>
                </c:pt>
                <c:pt idx="450">
                  <c:v>-3.1262857129015496</c:v>
                </c:pt>
                <c:pt idx="451">
                  <c:v>-3.1890060696255871</c:v>
                </c:pt>
                <c:pt idx="452">
                  <c:v>-3.2514738611657004</c:v>
                </c:pt>
                <c:pt idx="453">
                  <c:v>-3.3150949568379176</c:v>
                </c:pt>
                <c:pt idx="454">
                  <c:v>-3.3784581519413526</c:v>
                </c:pt>
                <c:pt idx="455">
                  <c:v>-3.4415664942969588</c:v>
                </c:pt>
                <c:pt idx="456">
                  <c:v>-3.5044229731215477</c:v>
                </c:pt>
                <c:pt idx="457">
                  <c:v>-3.5685132967826072</c:v>
                </c:pt>
                <c:pt idx="458">
                  <c:v>-3.6323458187717863</c:v>
                </c:pt>
                <c:pt idx="459">
                  <c:v>-3.6959235647014683</c:v>
                </c:pt>
                <c:pt idx="460">
                  <c:v>-3.7592495019865013</c:v>
                </c:pt>
                <c:pt idx="461">
                  <c:v>-3.823785829990002</c:v>
                </c:pt>
                <c:pt idx="462">
                  <c:v>-3.8880646442704254</c:v>
                </c:pt>
                <c:pt idx="463">
                  <c:v>-3.9520889435762157</c:v>
                </c:pt>
                <c:pt idx="464">
                  <c:v>-4.015861669024539</c:v>
                </c:pt>
                <c:pt idx="465">
                  <c:v>-4.0808715905251853</c:v>
                </c:pt>
                <c:pt idx="466">
                  <c:v>-4.1456240621435221</c:v>
                </c:pt>
                <c:pt idx="467">
                  <c:v>-4.2101220584808585</c:v>
                </c:pt>
                <c:pt idx="468">
                  <c:v>-4.2743684970523317</c:v>
                </c:pt>
                <c:pt idx="469">
                  <c:v>-4.3398289462905897</c:v>
                </c:pt>
                <c:pt idx="470">
                  <c:v>-4.405032182658946</c:v>
                </c:pt>
                <c:pt idx="471">
                  <c:v>-4.469981152618117</c:v>
                </c:pt>
                <c:pt idx="472">
                  <c:v>-4.5346787462458451</c:v>
                </c:pt>
                <c:pt idx="473">
                  <c:v>-4.6006638650439049</c:v>
                </c:pt>
                <c:pt idx="474">
                  <c:v>-4.6663914150356147</c:v>
                </c:pt>
                <c:pt idx="475">
                  <c:v>-4.7318643238739382</c:v>
                </c:pt>
                <c:pt idx="476">
                  <c:v>-4.7970854633601894</c:v>
                </c:pt>
                <c:pt idx="477">
                  <c:v>-4.8635700885862869</c:v>
                </c:pt>
                <c:pt idx="478">
                  <c:v>-4.9297969749714108</c:v>
                </c:pt>
                <c:pt idx="479">
                  <c:v>-4.9957690275824458</c:v>
                </c:pt>
                <c:pt idx="480">
                  <c:v>-5.061489096337243</c:v>
                </c:pt>
                <c:pt idx="481">
                  <c:v>-5.1284493084451332</c:v>
                </c:pt>
                <c:pt idx="482">
                  <c:v>-5.1951517794360154</c:v>
                </c:pt>
                <c:pt idx="483">
                  <c:v>-5.261599388735366</c:v>
                </c:pt>
                <c:pt idx="484">
                  <c:v>-5.3277949614837468</c:v>
                </c:pt>
                <c:pt idx="485">
                  <c:v>-5.3952538409308364</c:v>
                </c:pt>
                <c:pt idx="486">
                  <c:v>-5.462454779929562</c:v>
                </c:pt>
                <c:pt idx="487">
                  <c:v>-5.5294006357123182</c:v>
                </c:pt>
                <c:pt idx="488">
                  <c:v>-5.5960942120987305</c:v>
                </c:pt>
                <c:pt idx="489">
                  <c:v>-5.6641183179114769</c:v>
                </c:pt>
                <c:pt idx="490">
                  <c:v>-5.731883762220864</c:v>
                </c:pt>
                <c:pt idx="491">
                  <c:v>-5.7993933891937264</c:v>
                </c:pt>
                <c:pt idx="492">
                  <c:v>-5.866649990336823</c:v>
                </c:pt>
                <c:pt idx="493">
                  <c:v>-5.9352126701114818</c:v>
                </c:pt>
                <c:pt idx="494">
                  <c:v>-6.0035161616577639</c:v>
                </c:pt>
                <c:pt idx="495">
                  <c:v>-6.071563293809346</c:v>
                </c:pt>
                <c:pt idx="496">
                  <c:v>-6.1393568436682795</c:v>
                </c:pt>
                <c:pt idx="497">
                  <c:v>-6.2084765031791509</c:v>
                </c:pt>
                <c:pt idx="498">
                  <c:v>-6.2773363033546792</c:v>
                </c:pt>
                <c:pt idx="499">
                  <c:v>-6.3459390615572486</c:v>
                </c:pt>
                <c:pt idx="500">
                  <c:v>-6.4142875443830514</c:v>
                </c:pt>
                <c:pt idx="501">
                  <c:v>-6.4839812038553255</c:v>
                </c:pt>
                <c:pt idx="502">
                  <c:v>-6.5534142081260516</c:v>
                </c:pt>
                <c:pt idx="503">
                  <c:v>-6.6225893672128056</c:v>
                </c:pt>
                <c:pt idx="504">
                  <c:v>-6.6915094413772733</c:v>
                </c:pt>
                <c:pt idx="505">
                  <c:v>-6.7617503205774252</c:v>
                </c:pt>
                <c:pt idx="506">
                  <c:v>-6.8317299603223898</c:v>
                </c:pt>
                <c:pt idx="507">
                  <c:v>-6.9014511626855191</c:v>
                </c:pt>
                <c:pt idx="508">
                  <c:v>-6.9709166811624925</c:v>
                </c:pt>
                <c:pt idx="509">
                  <c:v>-7.0417212137057614</c:v>
                </c:pt>
                <c:pt idx="510">
                  <c:v>-7.1122638228639925</c:v>
                </c:pt>
                <c:pt idx="511">
                  <c:v>-7.1825473079614364</c:v>
                </c:pt>
                <c:pt idx="512">
                  <c:v>-7.2525744209659537</c:v>
                </c:pt>
                <c:pt idx="513">
                  <c:v>-7.3239991904236676</c:v>
                </c:pt>
                <c:pt idx="514">
                  <c:v>-7.3951609763597368</c:v>
                </c:pt>
                <c:pt idx="515">
                  <c:v>-7.4660625857813017</c:v>
                </c:pt>
                <c:pt idx="516">
                  <c:v>-7.5367067795026363</c:v>
                </c:pt>
                <c:pt idx="517">
                  <c:v>-7.6087236069196091</c:v>
                </c:pt>
                <c:pt idx="518">
                  <c:v>-7.6804766612990338</c:v>
                </c:pt>
                <c:pt idx="519">
                  <c:v>-7.7519687583627048</c:v>
                </c:pt>
                <c:pt idx="520">
                  <c:v>-7.8232026689673875</c:v>
                </c:pt>
                <c:pt idx="521">
                  <c:v>-7.8958250345491177</c:v>
                </c:pt>
                <c:pt idx="522">
                  <c:v>-7.968182824270488</c:v>
                </c:pt>
                <c:pt idx="523">
                  <c:v>-8.0402788691671798</c:v>
                </c:pt>
                <c:pt idx="524">
                  <c:v>-8.1121159567891858</c:v>
                </c:pt>
                <c:pt idx="525">
                  <c:v>-8.1853566393196413</c:v>
                </c:pt>
                <c:pt idx="526">
                  <c:v>-8.2583319648079474</c:v>
                </c:pt>
                <c:pt idx="527">
                  <c:v>-8.3310447867651476</c:v>
                </c:pt>
                <c:pt idx="528">
                  <c:v>-8.4034979166462804</c:v>
                </c:pt>
                <c:pt idx="529">
                  <c:v>-8.4773691659307921</c:v>
                </c:pt>
                <c:pt idx="530">
                  <c:v>-8.5509743371693432</c:v>
                </c:pt>
                <c:pt idx="531">
                  <c:v>-8.6243163141114199</c:v>
                </c:pt>
                <c:pt idx="532">
                  <c:v>-8.6973979399271766</c:v>
                </c:pt>
                <c:pt idx="533">
                  <c:v>-8.7719500660837006</c:v>
                </c:pt>
                <c:pt idx="534">
                  <c:v>-8.846235221900498</c:v>
                </c:pt>
                <c:pt idx="535">
                  <c:v>-8.920256334257866</c:v>
                </c:pt>
                <c:pt idx="536">
                  <c:v>-8.9940162908947769</c:v>
                </c:pt>
                <c:pt idx="537">
                  <c:v>-9.0691837330518403</c:v>
                </c:pt>
                <c:pt idx="538">
                  <c:v>-9.1440840157622283</c:v>
                </c:pt>
                <c:pt idx="539">
                  <c:v>-9.2187201090078137</c:v>
                </c:pt>
                <c:pt idx="540">
                  <c:v>-9.2930949452597371</c:v>
                </c:pt>
                <c:pt idx="541">
                  <c:v>-9.3689658634215878</c:v>
                </c:pt>
                <c:pt idx="542">
                  <c:v>-9.4445690911802664</c:v>
                </c:pt>
                <c:pt idx="543">
                  <c:v>-9.5199076603474158</c:v>
                </c:pt>
                <c:pt idx="544">
                  <c:v>-9.594984566720548</c:v>
                </c:pt>
                <c:pt idx="545">
                  <c:v>-9.6715328269207284</c:v>
                </c:pt>
                <c:pt idx="546">
                  <c:v>-9.7478133962483842</c:v>
                </c:pt>
                <c:pt idx="547">
                  <c:v>-9.8238293741517353</c:v>
                </c:pt>
                <c:pt idx="548">
                  <c:v>-9.8995838256382171</c:v>
                </c:pt>
                <c:pt idx="549">
                  <c:v>-9.9768223202012365</c:v>
                </c:pt>
                <c:pt idx="550">
                  <c:v>-10.053793440317612</c:v>
                </c:pt>
                <c:pt idx="551">
                  <c:v>-10.1305003640205</c:v>
                </c:pt>
                <c:pt idx="552">
                  <c:v>-10.206946236452142</c:v>
                </c:pt>
                <c:pt idx="553">
                  <c:v>-10.28492458990706</c:v>
                </c:pt>
                <c:pt idx="554">
                  <c:v>-10.36263602356148</c:v>
                </c:pt>
                <c:pt idx="555">
                  <c:v>-10.440083810002402</c:v>
                </c:pt>
                <c:pt idx="556">
                  <c:v>-10.517271190366543</c:v>
                </c:pt>
                <c:pt idx="557">
                  <c:v>-10.674468862959934</c:v>
                </c:pt>
                <c:pt idx="558">
                  <c:v>-10.830616046107524</c:v>
                </c:pt>
                <c:pt idx="559">
                  <c:v>-10.989283259729357</c:v>
                </c:pt>
                <c:pt idx="560">
                  <c:v>-11.146907254320977</c:v>
                </c:pt>
                <c:pt idx="561">
                  <c:v>-11.307219189694093</c:v>
                </c:pt>
                <c:pt idx="562">
                  <c:v>-11.466495894619852</c:v>
                </c:pt>
                <c:pt idx="563">
                  <c:v>-11.62815160681857</c:v>
                </c:pt>
                <c:pt idx="564">
                  <c:v>-11.788787269619462</c:v>
                </c:pt>
                <c:pt idx="565">
                  <c:v>-11.952444725277509</c:v>
                </c:pt>
                <c:pt idx="566">
                  <c:v>-12.115092852257785</c:v>
                </c:pt>
                <c:pt idx="567">
                  <c:v>-12.280726228837953</c:v>
                </c:pt>
                <c:pt idx="568">
                  <c:v>-12.445365786765985</c:v>
                </c:pt>
                <c:pt idx="569">
                  <c:v>-12.612308147212055</c:v>
                </c:pt>
                <c:pt idx="570">
                  <c:v>-12.778284685391647</c:v>
                </c:pt>
                <c:pt idx="571">
                  <c:v>-12.947846973650922</c:v>
                </c:pt>
                <c:pt idx="572">
                  <c:v>-13.116461492442076</c:v>
                </c:pt>
                <c:pt idx="573">
                  <c:v>-13.287355742421569</c:v>
                </c:pt>
                <c:pt idx="574">
                  <c:v>-13.457340102500989</c:v>
                </c:pt>
                <c:pt idx="575">
                  <c:v>-13.630873626394646</c:v>
                </c:pt>
                <c:pt idx="576">
                  <c:v>-13.803527006227032</c:v>
                </c:pt>
                <c:pt idx="577">
                  <c:v>-14.52559993602244</c:v>
                </c:pt>
                <c:pt idx="578">
                  <c:v>-15.235410632889849</c:v>
                </c:pt>
                <c:pt idx="579">
                  <c:v>-16.760591566760215</c:v>
                </c:pt>
                <c:pt idx="580">
                  <c:v>-18.409218726950098</c:v>
                </c:pt>
                <c:pt idx="581">
                  <c:v>-20.211059567518213</c:v>
                </c:pt>
                <c:pt idx="582">
                  <c:v>-22.197042675606006</c:v>
                </c:pt>
                <c:pt idx="583">
                  <c:v>-24.383385164910408</c:v>
                </c:pt>
                <c:pt idx="584">
                  <c:v>-26.769070960728722</c:v>
                </c:pt>
                <c:pt idx="585">
                  <c:v>-29.328421311889826</c:v>
                </c:pt>
                <c:pt idx="586">
                  <c:v>-32.022413705362688</c:v>
                </c:pt>
                <c:pt idx="587">
                  <c:v>-34.808570484955659</c:v>
                </c:pt>
                <c:pt idx="588">
                  <c:v>-37.644088171060716</c:v>
                </c:pt>
                <c:pt idx="589">
                  <c:v>-40.499182365403314</c:v>
                </c:pt>
                <c:pt idx="590">
                  <c:v>-43.349564999826164</c:v>
                </c:pt>
                <c:pt idx="591">
                  <c:v>-46.179974587891422</c:v>
                </c:pt>
                <c:pt idx="592">
                  <c:v>-48.98052974230491</c:v>
                </c:pt>
                <c:pt idx="593">
                  <c:v>-51.746951401495053</c:v>
                </c:pt>
                <c:pt idx="594">
                  <c:v>-54.476489666693141</c:v>
                </c:pt>
                <c:pt idx="595">
                  <c:v>-57.169785941941967</c:v>
                </c:pt>
                <c:pt idx="596">
                  <c:v>-59.827765278197063</c:v>
                </c:pt>
                <c:pt idx="597">
                  <c:v>-62.453323228597746</c:v>
                </c:pt>
                <c:pt idx="598">
                  <c:v>-65.048616810918062</c:v>
                </c:pt>
                <c:pt idx="599">
                  <c:v>-67.617324068851801</c:v>
                </c:pt>
                <c:pt idx="600">
                  <c:v>-70.162086360547718</c:v>
                </c:pt>
              </c:numCache>
            </c:numRef>
          </c:yVal>
          <c:smooth val="0"/>
          <c:extLst>
            <c:ext xmlns:c16="http://schemas.microsoft.com/office/drawing/2014/chart" uri="{C3380CC4-5D6E-409C-BE32-E72D297353CC}">
              <c16:uniqueId val="{00000000-1839-4D61-A0B5-FA68D8BCC26F}"/>
            </c:ext>
          </c:extLst>
        </c:ser>
        <c:dLbls>
          <c:showLegendKey val="0"/>
          <c:showVal val="0"/>
          <c:showCatName val="0"/>
          <c:showSerName val="0"/>
          <c:showPercent val="0"/>
          <c:showBubbleSize val="0"/>
        </c:dLbls>
        <c:axId val="332788864"/>
        <c:axId val="332790784"/>
      </c:scatterChart>
      <c:scatterChart>
        <c:scatterStyle val="lineMarker"/>
        <c:varyColors val="0"/>
        <c:ser>
          <c:idx val="1"/>
          <c:order val="1"/>
          <c:tx>
            <c:strRef>
              <c:f>'Stability Calculations'!$W$12</c:f>
              <c:strCache>
                <c:ptCount val="1"/>
                <c:pt idx="0">
                  <c:v>Phase Margin (°)</c:v>
                </c:pt>
              </c:strCache>
            </c:strRef>
          </c:tx>
          <c:spPr>
            <a:ln w="25400">
              <a:solidFill>
                <a:srgbClr val="0000FF"/>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-18.371193668191005</c:v>
                </c:pt>
                <c:pt idx="1">
                  <c:v>-20.011186337853896</c:v>
                </c:pt>
                <c:pt idx="2">
                  <c:v>-21.77142703952001</c:v>
                </c:pt>
                <c:pt idx="3">
                  <c:v>-23.653811047496148</c:v>
                </c:pt>
                <c:pt idx="4">
                  <c:v>-25.657024475896538</c:v>
                </c:pt>
                <c:pt idx="5">
                  <c:v>-27.782247219520066</c:v>
                </c:pt>
                <c:pt idx="6">
                  <c:v>-30.021731746939963</c:v>
                </c:pt>
                <c:pt idx="7">
                  <c:v>-32.369175326281095</c:v>
                </c:pt>
                <c:pt idx="8">
                  <c:v>-34.812008407589197</c:v>
                </c:pt>
                <c:pt idx="9">
                  <c:v>-37.338154880555827</c:v>
                </c:pt>
                <c:pt idx="10">
                  <c:v>-39.929411973592352</c:v>
                </c:pt>
                <c:pt idx="11">
                  <c:v>-42.566946549041035</c:v>
                </c:pt>
                <c:pt idx="12">
                  <c:v>-45.231237586218448</c:v>
                </c:pt>
                <c:pt idx="13">
                  <c:v>-47.897860167296791</c:v>
                </c:pt>
                <c:pt idx="14">
                  <c:v>-50.547056970733081</c:v>
                </c:pt>
                <c:pt idx="15">
                  <c:v>-53.156826681448791</c:v>
                </c:pt>
                <c:pt idx="16">
                  <c:v>-55.708149116806425</c:v>
                </c:pt>
                <c:pt idx="17">
                  <c:v>-58.183856912643392</c:v>
                </c:pt>
                <c:pt idx="18">
                  <c:v>-60.57072328030543</c:v>
                </c:pt>
                <c:pt idx="19">
                  <c:v>-62.857270089354728</c:v>
                </c:pt>
                <c:pt idx="20">
                  <c:v>-65.036260336947677</c:v>
                </c:pt>
                <c:pt idx="21">
                  <c:v>-67.102543323262921</c:v>
                </c:pt>
                <c:pt idx="22">
                  <c:v>-69.054558793578764</c:v>
                </c:pt>
                <c:pt idx="23">
                  <c:v>-70.892178790505412</c:v>
                </c:pt>
                <c:pt idx="24">
                  <c:v>-72.618186448843119</c:v>
                </c:pt>
                <c:pt idx="25">
                  <c:v>-74.236187373335824</c:v>
                </c:pt>
                <c:pt idx="26">
                  <c:v>-75.751634072826121</c:v>
                </c:pt>
                <c:pt idx="27">
                  <c:v>-77.17002724990968</c:v>
                </c:pt>
                <c:pt idx="28">
                  <c:v>-78.498067291027894</c:v>
                </c:pt>
                <c:pt idx="29">
                  <c:v>-79.742041378002142</c:v>
                </c:pt>
                <c:pt idx="30">
                  <c:v>-80.911256913373705</c:v>
                </c:pt>
                <c:pt idx="31">
                  <c:v>-82.011344989129185</c:v>
                </c:pt>
                <c:pt idx="32">
                  <c:v>-83.050396893686298</c:v>
                </c:pt>
                <c:pt idx="33">
                  <c:v>-84.034944033417787</c:v>
                </c:pt>
                <c:pt idx="34">
                  <c:v>-84.972902576794581</c:v>
                </c:pt>
                <c:pt idx="35">
                  <c:v>-85.870751714433482</c:v>
                </c:pt>
                <c:pt idx="36">
                  <c:v>-86.735522297149743</c:v>
                </c:pt>
                <c:pt idx="37">
                  <c:v>-87.574408905908996</c:v>
                </c:pt>
                <c:pt idx="38">
                  <c:v>-88.393240825702591</c:v>
                </c:pt>
                <c:pt idx="39">
                  <c:v>-89.199215428726063</c:v>
                </c:pt>
                <c:pt idx="40">
                  <c:v>-89.998483362783347</c:v>
                </c:pt>
                <c:pt idx="41">
                  <c:v>-90.797529674498293</c:v>
                </c:pt>
                <c:pt idx="42">
                  <c:v>-91.602640882558333</c:v>
                </c:pt>
                <c:pt idx="43">
                  <c:v>-92.420460330936351</c:v>
                </c:pt>
                <c:pt idx="44">
                  <c:v>-93.257209045016097</c:v>
                </c:pt>
                <c:pt idx="45">
                  <c:v>-94.119543576449729</c:v>
                </c:pt>
                <c:pt idx="46">
                  <c:v>-95.013837026128186</c:v>
                </c:pt>
                <c:pt idx="47">
                  <c:v>-95.946892468941186</c:v>
                </c:pt>
                <c:pt idx="48">
                  <c:v>-96.925137857842316</c:v>
                </c:pt>
                <c:pt idx="49">
                  <c:v>-97.955503618004329</c:v>
                </c:pt>
                <c:pt idx="50">
                  <c:v>-99.044490963790182</c:v>
                </c:pt>
                <c:pt idx="51">
                  <c:v>-100.19891992923796</c:v>
                </c:pt>
                <c:pt idx="52">
                  <c:v>-101.42476896920677</c:v>
                </c:pt>
                <c:pt idx="53">
                  <c:v>-102.72804136077012</c:v>
                </c:pt>
                <c:pt idx="54">
                  <c:v>-104.11325535367058</c:v>
                </c:pt>
                <c:pt idx="55">
                  <c:v>-105.58742406843983</c:v>
                </c:pt>
                <c:pt idx="56">
                  <c:v>-107.15211804747405</c:v>
                </c:pt>
                <c:pt idx="57">
                  <c:v>-108.81051650263956</c:v>
                </c:pt>
                <c:pt idx="58">
                  <c:v>-110.5617518357395</c:v>
                </c:pt>
                <c:pt idx="59">
                  <c:v>-112.40529700742866</c:v>
                </c:pt>
                <c:pt idx="60">
                  <c:v>-114.33566797280102</c:v>
                </c:pt>
                <c:pt idx="61">
                  <c:v>-116.34570379924826</c:v>
                </c:pt>
                <c:pt idx="62">
                  <c:v>-118.4258787756394</c:v>
                </c:pt>
                <c:pt idx="63">
                  <c:v>-120.56019219306398</c:v>
                </c:pt>
                <c:pt idx="64">
                  <c:v>-122.73300326110831</c:v>
                </c:pt>
                <c:pt idx="65">
                  <c:v>-124.92309585056698</c:v>
                </c:pt>
                <c:pt idx="66">
                  <c:v>-127.10767159581151</c:v>
                </c:pt>
                <c:pt idx="67">
                  <c:v>-129.26156903394198</c:v>
                </c:pt>
                <c:pt idx="68">
                  <c:v>-131.35951895161799</c:v>
                </c:pt>
                <c:pt idx="69">
                  <c:v>-133.37495052806977</c:v>
                </c:pt>
                <c:pt idx="70">
                  <c:v>-135.28306058644509</c:v>
                </c:pt>
                <c:pt idx="71">
                  <c:v>-137.05987056199845</c:v>
                </c:pt>
                <c:pt idx="72">
                  <c:v>-138.68442240335253</c:v>
                </c:pt>
                <c:pt idx="73">
                  <c:v>-140.13768837465858</c:v>
                </c:pt>
                <c:pt idx="74">
                  <c:v>-141.40434858884555</c:v>
                </c:pt>
                <c:pt idx="75">
                  <c:v>-142.47149023455538</c:v>
                </c:pt>
                <c:pt idx="76">
                  <c:v>-143.32954474024012</c:v>
                </c:pt>
                <c:pt idx="77">
                  <c:v>-143.97122572997975</c:v>
                </c:pt>
                <c:pt idx="78">
                  <c:v>-144.39224066535212</c:v>
                </c:pt>
                <c:pt idx="79">
                  <c:v>-144.59066087585231</c:v>
                </c:pt>
                <c:pt idx="80">
                  <c:v>-144.56715894629662</c:v>
                </c:pt>
                <c:pt idx="81">
                  <c:v>-144.32435378310819</c:v>
                </c:pt>
                <c:pt idx="82">
                  <c:v>-143.86732306848828</c:v>
                </c:pt>
                <c:pt idx="83">
                  <c:v>-143.20419560535311</c:v>
                </c:pt>
                <c:pt idx="84">
                  <c:v>-142.34498657143791</c:v>
                </c:pt>
                <c:pt idx="85">
                  <c:v>-141.30357122275225</c:v>
                </c:pt>
                <c:pt idx="86">
                  <c:v>-140.09636890755513</c:v>
                </c:pt>
                <c:pt idx="87">
                  <c:v>-138.74226384059264</c:v>
                </c:pt>
                <c:pt idx="88">
                  <c:v>-137.26518510245148</c:v>
                </c:pt>
                <c:pt idx="89">
                  <c:v>-135.68933070825366</c:v>
                </c:pt>
                <c:pt idx="90">
                  <c:v>-134.04282288439182</c:v>
                </c:pt>
                <c:pt idx="91">
                  <c:v>-132.35460200178198</c:v>
                </c:pt>
                <c:pt idx="92">
                  <c:v>-130.65465296971928</c:v>
                </c:pt>
                <c:pt idx="93">
                  <c:v>-128.9720035519525</c:v>
                </c:pt>
                <c:pt idx="94">
                  <c:v>-128.55762406875402</c:v>
                </c:pt>
                <c:pt idx="95">
                  <c:v>-128.35037676469221</c:v>
                </c:pt>
                <c:pt idx="96">
                  <c:v>-128.14637827214986</c:v>
                </c:pt>
                <c:pt idx="97">
                  <c:v>-127.94097919287995</c:v>
                </c:pt>
                <c:pt idx="98">
                  <c:v>-127.7389108063867</c:v>
                </c:pt>
                <c:pt idx="99">
                  <c:v>-127.53551661447734</c:v>
                </c:pt>
                <c:pt idx="100">
                  <c:v>-127.33553207290068</c:v>
                </c:pt>
                <c:pt idx="101">
                  <c:v>-127.13445269541248</c:v>
                </c:pt>
                <c:pt idx="102">
                  <c:v>-126.93685365435837</c:v>
                </c:pt>
                <c:pt idx="103">
                  <c:v>-126.73809497117651</c:v>
                </c:pt>
                <c:pt idx="104">
                  <c:v>-126.54288926347783</c:v>
                </c:pt>
                <c:pt idx="105">
                  <c:v>-126.34675796783141</c:v>
                </c:pt>
                <c:pt idx="106">
                  <c:v>-126.15424369544515</c:v>
                </c:pt>
                <c:pt idx="107">
                  <c:v>-125.96102843102751</c:v>
                </c:pt>
                <c:pt idx="108">
                  <c:v>-125.77148564220494</c:v>
                </c:pt>
                <c:pt idx="109">
                  <c:v>-125.58132851241137</c:v>
                </c:pt>
                <c:pt idx="110">
                  <c:v>-125.39489580851924</c:v>
                </c:pt>
                <c:pt idx="111">
                  <c:v>-125.2078174537977</c:v>
                </c:pt>
                <c:pt idx="112">
                  <c:v>-125.02451683223568</c:v>
                </c:pt>
                <c:pt idx="113">
                  <c:v>-124.84079521929934</c:v>
                </c:pt>
                <c:pt idx="114">
                  <c:v>-124.66089578412138</c:v>
                </c:pt>
                <c:pt idx="115">
                  <c:v>-124.48067605334741</c:v>
                </c:pt>
                <c:pt idx="116">
                  <c:v>-124.30431908918133</c:v>
                </c:pt>
                <c:pt idx="117">
                  <c:v>-124.12774626004807</c:v>
                </c:pt>
                <c:pt idx="118">
                  <c:v>-123.95507283437547</c:v>
                </c:pt>
                <c:pt idx="119">
                  <c:v>-123.78239475522803</c:v>
                </c:pt>
                <c:pt idx="120">
                  <c:v>-123.61364396169897</c:v>
                </c:pt>
                <c:pt idx="121">
                  <c:v>-123.44498953843222</c:v>
                </c:pt>
                <c:pt idx="122">
                  <c:v>-123.28028642634793</c:v>
                </c:pt>
                <c:pt idx="123">
                  <c:v>-123.11568913247689</c:v>
                </c:pt>
                <c:pt idx="124">
                  <c:v>-122.95506783319381</c:v>
                </c:pt>
                <c:pt idx="125">
                  <c:v>-122.79475682348772</c:v>
                </c:pt>
                <c:pt idx="126">
                  <c:v>-122.63843782721707</c:v>
                </c:pt>
                <c:pt idx="127">
                  <c:v>-122.48253653589272</c:v>
                </c:pt>
                <c:pt idx="128">
                  <c:v>-122.3306393312902</c:v>
                </c:pt>
                <c:pt idx="129">
                  <c:v>-122.17926859439353</c:v>
                </c:pt>
                <c:pt idx="130">
                  <c:v>-122.03191007214879</c:v>
                </c:pt>
                <c:pt idx="131">
                  <c:v>-121.88518775345747</c:v>
                </c:pt>
                <c:pt idx="132">
                  <c:v>-121.81333843020275</c:v>
                </c:pt>
                <c:pt idx="133">
                  <c:v>-121.74248184657942</c:v>
                </c:pt>
                <c:pt idx="134">
                  <c:v>-121.67095760361883</c:v>
                </c:pt>
                <c:pt idx="135">
                  <c:v>-121.60045025366503</c:v>
                </c:pt>
                <c:pt idx="136">
                  <c:v>-121.53094806985872</c:v>
                </c:pt>
                <c:pt idx="137">
                  <c:v>-121.46243946846657</c:v>
                </c:pt>
                <c:pt idx="138">
                  <c:v>-121.39339121286578</c:v>
                </c:pt>
                <c:pt idx="139">
                  <c:v>-121.3253581150701</c:v>
                </c:pt>
                <c:pt idx="140">
                  <c:v>-121.25832824149462</c:v>
                </c:pt>
                <c:pt idx="141">
                  <c:v>-121.19228981004719</c:v>
                </c:pt>
                <c:pt idx="142">
                  <c:v>-121.12570022478209</c:v>
                </c:pt>
                <c:pt idx="143">
                  <c:v>-121.06012515272579</c:v>
                </c:pt>
                <c:pt idx="144">
                  <c:v>-120.9955524377517</c:v>
                </c:pt>
                <c:pt idx="145">
                  <c:v>-120.93197008380844</c:v>
                </c:pt>
                <c:pt idx="146">
                  <c:v>-120.86792759278642</c:v>
                </c:pt>
                <c:pt idx="147">
                  <c:v>-120.80489697444916</c:v>
                </c:pt>
                <c:pt idx="148">
                  <c:v>-120.74286588898555</c:v>
                </c:pt>
                <c:pt idx="149">
                  <c:v>-120.68182216451744</c:v>
                </c:pt>
                <c:pt idx="150">
                  <c:v>-120.62037637284909</c:v>
                </c:pt>
                <c:pt idx="151">
                  <c:v>-120.55993888114132</c:v>
                </c:pt>
                <c:pt idx="152">
                  <c:v>-120.50049718657944</c:v>
                </c:pt>
                <c:pt idx="153">
                  <c:v>-120.44203896170212</c:v>
                </c:pt>
                <c:pt idx="154">
                  <c:v>-120.38321038623148</c:v>
                </c:pt>
                <c:pt idx="155">
                  <c:v>-120.32538654796952</c:v>
                </c:pt>
                <c:pt idx="156">
                  <c:v>-120.26855478443771</c:v>
                </c:pt>
                <c:pt idx="157">
                  <c:v>-120.21270261581097</c:v>
                </c:pt>
                <c:pt idx="158">
                  <c:v>-120.15654170840298</c:v>
                </c:pt>
                <c:pt idx="159">
                  <c:v>-120.10138102000053</c:v>
                </c:pt>
                <c:pt idx="160">
                  <c:v>-120.04720774983657</c:v>
                </c:pt>
                <c:pt idx="161">
                  <c:v>-119.99400928663317</c:v>
                </c:pt>
                <c:pt idx="162">
                  <c:v>-119.94058706971975</c:v>
                </c:pt>
                <c:pt idx="163">
                  <c:v>-119.88815876043496</c:v>
                </c:pt>
                <c:pt idx="164">
                  <c:v>-119.83671145788549</c:v>
                </c:pt>
                <c:pt idx="165">
                  <c:v>-119.78623245668066</c:v>
                </c:pt>
                <c:pt idx="166">
                  <c:v>-119.73554577052215</c:v>
                </c:pt>
                <c:pt idx="167">
                  <c:v>-119.68584754642724</c:v>
                </c:pt>
                <c:pt idx="168">
                  <c:v>-119.63712477034522</c:v>
                </c:pt>
                <c:pt idx="169">
                  <c:v>-119.58936462993537</c:v>
                </c:pt>
                <c:pt idx="170">
                  <c:v>-119.54156032242186</c:v>
                </c:pt>
                <c:pt idx="171">
                  <c:v>-119.49473401534866</c:v>
                </c:pt>
                <c:pt idx="172">
                  <c:v>-119.44887268478001</c:v>
                </c:pt>
                <c:pt idx="173">
                  <c:v>-119.40396351247236</c:v>
                </c:pt>
                <c:pt idx="174">
                  <c:v>-119.35889743718931</c:v>
                </c:pt>
                <c:pt idx="175">
                  <c:v>-119.31480549674248</c:v>
                </c:pt>
                <c:pt idx="176">
                  <c:v>-119.27167452976217</c:v>
                </c:pt>
                <c:pt idx="177">
                  <c:v>-119.22949158716115</c:v>
                </c:pt>
                <c:pt idx="178">
                  <c:v>-119.18724131696277</c:v>
                </c:pt>
                <c:pt idx="179">
                  <c:v>-119.14595941424248</c:v>
                </c:pt>
                <c:pt idx="180">
                  <c:v>-119.10563262048947</c:v>
                </c:pt>
                <c:pt idx="181">
                  <c:v>-119.06624789518116</c:v>
                </c:pt>
                <c:pt idx="182">
                  <c:v>-119.0270326935017</c:v>
                </c:pt>
                <c:pt idx="183">
                  <c:v>-118.98877088979752</c:v>
                </c:pt>
                <c:pt idx="184">
                  <c:v>-118.95144932136165</c:v>
                </c:pt>
                <c:pt idx="185">
                  <c:v>-118.91505504485626</c:v>
                </c:pt>
                <c:pt idx="186">
                  <c:v>-118.87861415705355</c:v>
                </c:pt>
                <c:pt idx="187">
                  <c:v>-118.84312516193245</c:v>
                </c:pt>
                <c:pt idx="188">
                  <c:v>-118.80857471781158</c:v>
                </c:pt>
                <c:pt idx="189">
                  <c:v>-118.77494970979164</c:v>
                </c:pt>
                <c:pt idx="190">
                  <c:v>-118.74162175215736</c:v>
                </c:pt>
                <c:pt idx="191">
                  <c:v>-118.70922808970222</c:v>
                </c:pt>
                <c:pt idx="192">
                  <c:v>-118.67775554181738</c:v>
                </c:pt>
                <c:pt idx="193">
                  <c:v>-118.6471911543363</c:v>
                </c:pt>
                <c:pt idx="194">
                  <c:v>-118.61675628866467</c:v>
                </c:pt>
                <c:pt idx="195">
                  <c:v>-118.58725089749994</c:v>
                </c:pt>
                <c:pt idx="196">
                  <c:v>-118.55866169601779</c:v>
                </c:pt>
                <c:pt idx="197">
                  <c:v>-118.53097563146402</c:v>
                </c:pt>
                <c:pt idx="198">
                  <c:v>-118.50360297620765</c:v>
                </c:pt>
                <c:pt idx="199">
                  <c:v>-118.47714660622687</c:v>
                </c:pt>
                <c:pt idx="200">
                  <c:v>-118.45159331386108</c:v>
                </c:pt>
                <c:pt idx="201">
                  <c:v>-118.42693012487692</c:v>
                </c:pt>
                <c:pt idx="202">
                  <c:v>-118.40264410633809</c:v>
                </c:pt>
                <c:pt idx="203">
                  <c:v>-118.3792601091926</c:v>
                </c:pt>
                <c:pt idx="204">
                  <c:v>-118.35676503111993</c:v>
                </c:pt>
                <c:pt idx="205">
                  <c:v>-118.33514600379831</c:v>
                </c:pt>
                <c:pt idx="206">
                  <c:v>-118.3138931028642</c:v>
                </c:pt>
                <c:pt idx="207">
                  <c:v>-118.29353305084116</c:v>
                </c:pt>
                <c:pt idx="208">
                  <c:v>-118.27405274400658</c:v>
                </c:pt>
                <c:pt idx="209">
                  <c:v>-118.25543931565052</c:v>
                </c:pt>
                <c:pt idx="210">
                  <c:v>-118.23720710104178</c:v>
                </c:pt>
                <c:pt idx="211">
                  <c:v>-118.21986296782673</c:v>
                </c:pt>
                <c:pt idx="212">
                  <c:v>-118.2033937151308</c:v>
                </c:pt>
                <c:pt idx="213">
                  <c:v>-118.18778638439171</c:v>
                </c:pt>
                <c:pt idx="214">
                  <c:v>-118.17274261881876</c:v>
                </c:pt>
                <c:pt idx="215">
                  <c:v>-118.15856899835926</c:v>
                </c:pt>
                <c:pt idx="216">
                  <c:v>-118.14525251987236</c:v>
                </c:pt>
                <c:pt idx="217">
                  <c:v>-118.1327804205678</c:v>
                </c:pt>
                <c:pt idx="218">
                  <c:v>-118.12088436275333</c:v>
                </c:pt>
                <c:pt idx="219">
                  <c:v>-118.1098453691249</c:v>
                </c:pt>
                <c:pt idx="220">
                  <c:v>-118.09965053055728</c:v>
                </c:pt>
                <c:pt idx="221">
                  <c:v>-118.09028717874011</c:v>
                </c:pt>
                <c:pt idx="222">
                  <c:v>-118.08156164186539</c:v>
                </c:pt>
                <c:pt idx="223">
                  <c:v>-118.07367905110496</c:v>
                </c:pt>
                <c:pt idx="224">
                  <c:v>-118.06662661831054</c:v>
                </c:pt>
                <c:pt idx="225">
                  <c:v>-118.06039179584533</c:v>
                </c:pt>
                <c:pt idx="226">
                  <c:v>-118.05483713630419</c:v>
                </c:pt>
                <c:pt idx="227">
                  <c:v>-118.05011540970506</c:v>
                </c:pt>
                <c:pt idx="228">
                  <c:v>-118.0462138584756</c:v>
                </c:pt>
                <c:pt idx="229">
                  <c:v>-118.04311996743523</c:v>
                </c:pt>
                <c:pt idx="230">
                  <c:v>-118.03925236549624</c:v>
                </c:pt>
                <c:pt idx="231">
                  <c:v>-118.03853825519577</c:v>
                </c:pt>
                <c:pt idx="232">
                  <c:v>-118.03862058886118</c:v>
                </c:pt>
                <c:pt idx="233">
                  <c:v>-118.03951715475424</c:v>
                </c:pt>
                <c:pt idx="234">
                  <c:v>-118.04122277533131</c:v>
                </c:pt>
                <c:pt idx="235">
                  <c:v>-118.04372484794004</c:v>
                </c:pt>
                <c:pt idx="236">
                  <c:v>-118.0470110135184</c:v>
                </c:pt>
                <c:pt idx="237">
                  <c:v>-118.05115939722904</c:v>
                </c:pt>
                <c:pt idx="238">
                  <c:v>-118.05609877323307</c:v>
                </c:pt>
                <c:pt idx="239">
                  <c:v>-118.06181676296183</c:v>
                </c:pt>
                <c:pt idx="240">
                  <c:v>-118.06830122813832</c:v>
                </c:pt>
                <c:pt idx="241">
                  <c:v>-118.07573514352664</c:v>
                </c:pt>
                <c:pt idx="242">
                  <c:v>-118.08395012137488</c:v>
                </c:pt>
                <c:pt idx="243">
                  <c:v>-118.09293381948768</c:v>
                </c:pt>
                <c:pt idx="244">
                  <c:v>-118.10267413742321</c:v>
                </c:pt>
                <c:pt idx="245">
                  <c:v>-118.11339991276721</c:v>
                </c:pt>
                <c:pt idx="246">
                  <c:v>-118.1248913968393</c:v>
                </c:pt>
                <c:pt idx="247">
                  <c:v>-118.13713641335742</c:v>
                </c:pt>
                <c:pt idx="248">
                  <c:v>-118.15012302581427</c:v>
                </c:pt>
                <c:pt idx="249">
                  <c:v>-118.16418310176455</c:v>
                </c:pt>
                <c:pt idx="250">
                  <c:v>-118.178996779825</c:v>
                </c:pt>
                <c:pt idx="251">
                  <c:v>-118.19455197443567</c:v>
                </c:pt>
                <c:pt idx="252">
                  <c:v>-118.21083683972171</c:v>
                </c:pt>
                <c:pt idx="253">
                  <c:v>-118.22820729003456</c:v>
                </c:pt>
                <c:pt idx="254">
                  <c:v>-118.24631439633797</c:v>
                </c:pt>
                <c:pt idx="255">
                  <c:v>-118.26514628165582</c:v>
                </c:pt>
                <c:pt idx="256">
                  <c:v>-118.28469130541832</c:v>
                </c:pt>
                <c:pt idx="257">
                  <c:v>-118.30547180939939</c:v>
                </c:pt>
                <c:pt idx="258">
                  <c:v>-118.32697879933504</c:v>
                </c:pt>
                <c:pt idx="259">
                  <c:v>-118.34920044489218</c:v>
                </c:pt>
                <c:pt idx="260">
                  <c:v>-118.37212515307937</c:v>
                </c:pt>
                <c:pt idx="261">
                  <c:v>-118.39628625023963</c:v>
                </c:pt>
                <c:pt idx="262">
                  <c:v>-118.42115893830902</c:v>
                </c:pt>
                <c:pt idx="263">
                  <c:v>-118.44673154892595</c:v>
                </c:pt>
                <c:pt idx="264">
                  <c:v>-118.47299264887093</c:v>
                </c:pt>
                <c:pt idx="265">
                  <c:v>-118.50053727323356</c:v>
                </c:pt>
                <c:pt idx="266">
                  <c:v>-118.52877789411666</c:v>
                </c:pt>
                <c:pt idx="267">
                  <c:v>-118.55770302390188</c:v>
                </c:pt>
                <c:pt idx="268">
                  <c:v>-118.58730140732779</c:v>
                </c:pt>
                <c:pt idx="269">
                  <c:v>-118.61830104876199</c:v>
                </c:pt>
                <c:pt idx="270">
                  <c:v>-118.64998368705182</c:v>
                </c:pt>
                <c:pt idx="271">
                  <c:v>-118.6823379522959</c:v>
                </c:pt>
                <c:pt idx="272">
                  <c:v>-118.71535270578556</c:v>
                </c:pt>
                <c:pt idx="273">
                  <c:v>-118.74981875752066</c:v>
                </c:pt>
                <c:pt idx="274">
                  <c:v>-118.78495392153796</c:v>
                </c:pt>
                <c:pt idx="275">
                  <c:v>-118.82074696783619</c:v>
                </c:pt>
                <c:pt idx="276">
                  <c:v>-118.85718689577847</c:v>
                </c:pt>
                <c:pt idx="277">
                  <c:v>-118.89503844285527</c:v>
                </c:pt>
                <c:pt idx="278">
                  <c:v>-118.933541523917</c:v>
                </c:pt>
                <c:pt idx="279">
                  <c:v>-118.97268514248185</c:v>
                </c:pt>
                <c:pt idx="280">
                  <c:v>-119.01245852698628</c:v>
                </c:pt>
                <c:pt idx="281">
                  <c:v>-119.05395379746064</c:v>
                </c:pt>
                <c:pt idx="282">
                  <c:v>-119.09609108499617</c:v>
                </c:pt>
                <c:pt idx="283">
                  <c:v>-119.13885942290079</c:v>
                </c:pt>
                <c:pt idx="284">
                  <c:v>-119.18224807043788</c:v>
                </c:pt>
                <c:pt idx="285">
                  <c:v>-119.2271228856968</c:v>
                </c:pt>
                <c:pt idx="286">
                  <c:v>-119.2726209255927</c:v>
                </c:pt>
                <c:pt idx="287">
                  <c:v>-119.31873148902237</c:v>
                </c:pt>
                <c:pt idx="288">
                  <c:v>-119.36544409536722</c:v>
                </c:pt>
                <c:pt idx="289">
                  <c:v>-119.41397962779503</c:v>
                </c:pt>
                <c:pt idx="290">
                  <c:v>-119.46312708936983</c:v>
                </c:pt>
                <c:pt idx="291">
                  <c:v>-119.51287585213154</c:v>
                </c:pt>
                <c:pt idx="292">
                  <c:v>-119.56321550834305</c:v>
                </c:pt>
                <c:pt idx="293">
                  <c:v>-119.61531938063118</c:v>
                </c:pt>
                <c:pt idx="294">
                  <c:v>-119.66802041353556</c:v>
                </c:pt>
                <c:pt idx="295">
                  <c:v>-119.72130814053124</c:v>
                </c:pt>
                <c:pt idx="296">
                  <c:v>-119.77517231257386</c:v>
                </c:pt>
                <c:pt idx="297">
                  <c:v>-119.83083879503545</c:v>
                </c:pt>
                <c:pt idx="298">
                  <c:v>-119.88708705289838</c:v>
                </c:pt>
                <c:pt idx="299">
                  <c:v>-119.94390679657937</c:v>
                </c:pt>
                <c:pt idx="300">
                  <c:v>-120.00128795074278</c:v>
                </c:pt>
                <c:pt idx="301">
                  <c:v>-120.06050643869861</c:v>
                </c:pt>
                <c:pt idx="302">
                  <c:v>-120.12029079036316</c:v>
                </c:pt>
                <c:pt idx="303">
                  <c:v>-120.1806309064701</c:v>
                </c:pt>
                <c:pt idx="304">
                  <c:v>-120.24151689833658</c:v>
                </c:pt>
                <c:pt idx="305">
                  <c:v>-120.30451475975489</c:v>
                </c:pt>
                <c:pt idx="306">
                  <c:v>-120.36806632673749</c:v>
                </c:pt>
                <c:pt idx="307">
                  <c:v>-120.43216158826981</c:v>
                </c:pt>
                <c:pt idx="308">
                  <c:v>-120.4967907430362</c:v>
                </c:pt>
                <c:pt idx="309">
                  <c:v>-120.56332273156167</c:v>
                </c:pt>
                <c:pt idx="310">
                  <c:v>-120.63039134395885</c:v>
                </c:pt>
                <c:pt idx="311">
                  <c:v>-120.69798678821643</c:v>
                </c:pt>
                <c:pt idx="312">
                  <c:v>-120.76609947745129</c:v>
                </c:pt>
                <c:pt idx="313">
                  <c:v>-120.83639996302378</c:v>
                </c:pt>
                <c:pt idx="314">
                  <c:v>-120.90722350388714</c:v>
                </c:pt>
                <c:pt idx="315">
                  <c:v>-120.97856042961379</c:v>
                </c:pt>
                <c:pt idx="316">
                  <c:v>-121.05040127299661</c:v>
                </c:pt>
                <c:pt idx="317">
                  <c:v>-121.12446499223113</c:v>
                </c:pt>
                <c:pt idx="318">
                  <c:v>-121.1990374577634</c:v>
                </c:pt>
                <c:pt idx="319">
                  <c:v>-121.2741091378293</c:v>
                </c:pt>
                <c:pt idx="320">
                  <c:v>-121.34967070146034</c:v>
                </c:pt>
                <c:pt idx="321">
                  <c:v>-121.42748708703721</c:v>
                </c:pt>
                <c:pt idx="322">
                  <c:v>-121.5057972605632</c:v>
                </c:pt>
                <c:pt idx="323">
                  <c:v>-121.58459184395049</c:v>
                </c:pt>
                <c:pt idx="324">
                  <c:v>-121.66386165702167</c:v>
                </c:pt>
                <c:pt idx="325">
                  <c:v>-121.74541524470753</c:v>
                </c:pt>
                <c:pt idx="326">
                  <c:v>-121.82744709776304</c:v>
                </c:pt>
                <c:pt idx="327">
                  <c:v>-121.90994800482055</c:v>
                </c:pt>
                <c:pt idx="328">
                  <c:v>-121.9929089491331</c:v>
                </c:pt>
                <c:pt idx="329">
                  <c:v>-122.07832274826919</c:v>
                </c:pt>
                <c:pt idx="330">
                  <c:v>-122.16420033715684</c:v>
                </c:pt>
                <c:pt idx="331">
                  <c:v>-122.25053263742636</c:v>
                </c:pt>
                <c:pt idx="332">
                  <c:v>-122.33731076295227</c:v>
                </c:pt>
                <c:pt idx="333">
                  <c:v>-122.42642361570601</c:v>
                </c:pt>
                <c:pt idx="334">
                  <c:v>-122.51598369388536</c:v>
                </c:pt>
                <c:pt idx="335">
                  <c:v>-122.60598210959175</c:v>
                </c:pt>
                <c:pt idx="336">
                  <c:v>-122.69641016314836</c:v>
                </c:pt>
                <c:pt idx="337">
                  <c:v>-122.78949124989245</c:v>
                </c:pt>
                <c:pt idx="338">
                  <c:v>-122.88300539114479</c:v>
                </c:pt>
                <c:pt idx="339">
                  <c:v>-122.97694381438113</c:v>
                </c:pt>
                <c:pt idx="340">
                  <c:v>-123.0712979333656</c:v>
                </c:pt>
                <c:pt idx="341">
                  <c:v>-123.16833128272046</c:v>
                </c:pt>
                <c:pt idx="342">
                  <c:v>-123.265782813575</c:v>
                </c:pt>
                <c:pt idx="343">
                  <c:v>-123.36364388402652</c:v>
                </c:pt>
                <c:pt idx="344">
                  <c:v>-123.46190603608207</c:v>
                </c:pt>
                <c:pt idx="345">
                  <c:v>-123.56271666007105</c:v>
                </c:pt>
                <c:pt idx="346">
                  <c:v>-123.66392876126827</c:v>
                </c:pt>
                <c:pt idx="347">
                  <c:v>-123.765533880153</c:v>
                </c:pt>
                <c:pt idx="348">
                  <c:v>-123.86752373725847</c:v>
                </c:pt>
                <c:pt idx="349">
                  <c:v>-123.97239161000054</c:v>
                </c:pt>
                <c:pt idx="350">
                  <c:v>-124.0776461878955</c:v>
                </c:pt>
                <c:pt idx="351">
                  <c:v>-124.18327912779218</c:v>
                </c:pt>
                <c:pt idx="352">
                  <c:v>-124.2892822645973</c:v>
                </c:pt>
                <c:pt idx="353">
                  <c:v>-124.3981844646807</c:v>
                </c:pt>
                <c:pt idx="354">
                  <c:v>-124.5074579307673</c:v>
                </c:pt>
                <c:pt idx="355">
                  <c:v>-124.61709445026501</c:v>
                </c:pt>
                <c:pt idx="356">
                  <c:v>-124.72708598624382</c:v>
                </c:pt>
                <c:pt idx="357">
                  <c:v>-124.83983412150417</c:v>
                </c:pt>
                <c:pt idx="358">
                  <c:v>-124.95293649816945</c:v>
                </c:pt>
                <c:pt idx="359">
                  <c:v>-125.06638508070293</c:v>
                </c:pt>
                <c:pt idx="360">
                  <c:v>-125.18017200551839</c:v>
                </c:pt>
                <c:pt idx="361">
                  <c:v>-125.2970532075589</c:v>
                </c:pt>
                <c:pt idx="362">
                  <c:v>-125.41427315021677</c:v>
                </c:pt>
                <c:pt idx="363">
                  <c:v>-125.53182391708881</c:v>
                </c:pt>
                <c:pt idx="364">
                  <c:v>-125.64969776167165</c:v>
                </c:pt>
                <c:pt idx="365">
                  <c:v>-125.77051705898296</c:v>
                </c:pt>
                <c:pt idx="366">
                  <c:v>-125.89165810747686</c:v>
                </c:pt>
                <c:pt idx="367">
                  <c:v>-126.0131131543741</c:v>
                </c:pt>
                <c:pt idx="368">
                  <c:v>-126.1348746134987</c:v>
                </c:pt>
                <c:pt idx="369">
                  <c:v>-126.25992391863848</c:v>
                </c:pt>
                <c:pt idx="370">
                  <c:v>-126.38527920571188</c:v>
                </c:pt>
                <c:pt idx="371">
                  <c:v>-126.51093283377702</c:v>
                </c:pt>
                <c:pt idx="372">
                  <c:v>-126.63687732670982</c:v>
                </c:pt>
                <c:pt idx="373">
                  <c:v>-126.76595457183741</c:v>
                </c:pt>
                <c:pt idx="374">
                  <c:v>-126.8953206441353</c:v>
                </c:pt>
                <c:pt idx="375">
                  <c:v>-127.0249680570345</c:v>
                </c:pt>
                <c:pt idx="376">
                  <c:v>-127.15488948582235</c:v>
                </c:pt>
                <c:pt idx="377">
                  <c:v>-127.28828934378005</c:v>
                </c:pt>
                <c:pt idx="378">
                  <c:v>-127.42196182222089</c:v>
                </c:pt>
                <c:pt idx="379">
                  <c:v>-127.5558995427014</c:v>
                </c:pt>
                <c:pt idx="380">
                  <c:v>-127.6900952870555</c:v>
                </c:pt>
                <c:pt idx="381">
                  <c:v>-127.82743785701702</c:v>
                </c:pt>
                <c:pt idx="382">
                  <c:v>-127.96503494219803</c:v>
                </c:pt>
                <c:pt idx="383">
                  <c:v>-128.10287933946157</c:v>
                </c:pt>
                <c:pt idx="384">
                  <c:v>-128.24096400249385</c:v>
                </c:pt>
                <c:pt idx="385">
                  <c:v>-128.38271289935301</c:v>
                </c:pt>
                <c:pt idx="386">
                  <c:v>-128.52469962279412</c:v>
                </c:pt>
                <c:pt idx="387">
                  <c:v>-128.66691707552107</c:v>
                </c:pt>
                <c:pt idx="388">
                  <c:v>-128.80935831569118</c:v>
                </c:pt>
                <c:pt idx="389">
                  <c:v>-128.95529656683306</c:v>
                </c:pt>
                <c:pt idx="390">
                  <c:v>-129.10145479119845</c:v>
                </c:pt>
                <c:pt idx="391">
                  <c:v>-129.247826036238</c:v>
                </c:pt>
                <c:pt idx="392">
                  <c:v>-129.39440350244786</c:v>
                </c:pt>
                <c:pt idx="393">
                  <c:v>-129.54447919111394</c:v>
                </c:pt>
                <c:pt idx="394">
                  <c:v>-129.6947565640917</c:v>
                </c:pt>
                <c:pt idx="395">
                  <c:v>-129.84522882405335</c:v>
                </c:pt>
                <c:pt idx="396">
                  <c:v>-129.99588932409981</c:v>
                </c:pt>
                <c:pt idx="397">
                  <c:v>-130.15039583580199</c:v>
                </c:pt>
                <c:pt idx="398">
                  <c:v>-130.30508618905952</c:v>
                </c:pt>
                <c:pt idx="399">
                  <c:v>-130.45995370660734</c:v>
                </c:pt>
                <c:pt idx="400">
                  <c:v>-130.61499186014413</c:v>
                </c:pt>
                <c:pt idx="401">
                  <c:v>-130.77369955367109</c:v>
                </c:pt>
                <c:pt idx="402">
                  <c:v>-130.93257232721177</c:v>
                </c:pt>
                <c:pt idx="403">
                  <c:v>-131.09160365876923</c:v>
                </c:pt>
                <c:pt idx="404">
                  <c:v>-131.25078717293701</c:v>
                </c:pt>
                <c:pt idx="405">
                  <c:v>-131.4138113858437</c:v>
                </c:pt>
                <c:pt idx="406">
                  <c:v>-131.57698186822907</c:v>
                </c:pt>
                <c:pt idx="407">
                  <c:v>-131.74029224320347</c:v>
                </c:pt>
                <c:pt idx="408">
                  <c:v>-131.90373627854277</c:v>
                </c:pt>
                <c:pt idx="409">
                  <c:v>-132.0711913418437</c:v>
                </c:pt>
                <c:pt idx="410">
                  <c:v>-132.23877371542966</c:v>
                </c:pt>
                <c:pt idx="411">
                  <c:v>-132.40647715994672</c:v>
                </c:pt>
                <c:pt idx="412">
                  <c:v>-132.57429557918019</c:v>
                </c:pt>
                <c:pt idx="413">
                  <c:v>-132.74611720625506</c:v>
                </c:pt>
                <c:pt idx="414">
                  <c:v>-132.91804673156258</c:v>
                </c:pt>
                <c:pt idx="415">
                  <c:v>-133.090078066763</c:v>
                </c:pt>
                <c:pt idx="416">
                  <c:v>-133.26220526490792</c:v>
                </c:pt>
                <c:pt idx="417">
                  <c:v>-133.43850285836064</c:v>
                </c:pt>
                <c:pt idx="418">
                  <c:v>-133.61488873678539</c:v>
                </c:pt>
                <c:pt idx="419">
                  <c:v>-133.79135695777401</c:v>
                </c:pt>
                <c:pt idx="420">
                  <c:v>-133.96790171893014</c:v>
                </c:pt>
                <c:pt idx="421">
                  <c:v>-134.14842711153352</c:v>
                </c:pt>
                <c:pt idx="422">
                  <c:v>-134.32902064393434</c:v>
                </c:pt>
                <c:pt idx="423">
                  <c:v>-134.5096765506525</c:v>
                </c:pt>
                <c:pt idx="424">
                  <c:v>-134.69038920409216</c:v>
                </c:pt>
                <c:pt idx="425">
                  <c:v>-134.87560164205593</c:v>
                </c:pt>
                <c:pt idx="426">
                  <c:v>-135.06086212136657</c:v>
                </c:pt>
                <c:pt idx="427">
                  <c:v>-135.24616501665844</c:v>
                </c:pt>
                <c:pt idx="428">
                  <c:v>-135.43150483974765</c:v>
                </c:pt>
                <c:pt idx="429">
                  <c:v>-135.62115025887698</c:v>
                </c:pt>
                <c:pt idx="430">
                  <c:v>-135.81082313230746</c:v>
                </c:pt>
                <c:pt idx="431">
                  <c:v>-136.00051800707561</c:v>
                </c:pt>
                <c:pt idx="432">
                  <c:v>-136.19022956594321</c:v>
                </c:pt>
                <c:pt idx="433">
                  <c:v>-136.38422816617773</c:v>
                </c:pt>
                <c:pt idx="434">
                  <c:v>-136.57823338633264</c:v>
                </c:pt>
                <c:pt idx="435">
                  <c:v>-136.77223996003735</c:v>
                </c:pt>
                <c:pt idx="436">
                  <c:v>-136.96624275501242</c:v>
                </c:pt>
                <c:pt idx="437">
                  <c:v>-137.16486825134913</c:v>
                </c:pt>
                <c:pt idx="438">
                  <c:v>-137.36347931382051</c:v>
                </c:pt>
                <c:pt idx="439">
                  <c:v>-137.56207084917986</c:v>
                </c:pt>
                <c:pt idx="440">
                  <c:v>-137.76063789742327</c:v>
                </c:pt>
                <c:pt idx="441">
                  <c:v>-137.96380481999682</c:v>
                </c:pt>
                <c:pt idx="442">
                  <c:v>-138.16693600421306</c:v>
                </c:pt>
                <c:pt idx="443">
                  <c:v>-138.37002654709605</c:v>
                </c:pt>
                <c:pt idx="444">
                  <c:v>-138.57307167784182</c:v>
                </c:pt>
                <c:pt idx="445">
                  <c:v>-138.78069179024092</c:v>
                </c:pt>
                <c:pt idx="446">
                  <c:v>-138.98825471152895</c:v>
                </c:pt>
                <c:pt idx="447">
                  <c:v>-139.19575574547699</c:v>
                </c:pt>
                <c:pt idx="448">
                  <c:v>-139.40319032675569</c:v>
                </c:pt>
                <c:pt idx="449">
                  <c:v>-139.61552841795375</c:v>
                </c:pt>
                <c:pt idx="450">
                  <c:v>-139.82778754734937</c:v>
                </c:pt>
                <c:pt idx="451">
                  <c:v>-140.03996321907644</c:v>
                </c:pt>
                <c:pt idx="452">
                  <c:v>-140.25205106756684</c:v>
                </c:pt>
                <c:pt idx="453">
                  <c:v>-140.46883562152703</c:v>
                </c:pt>
                <c:pt idx="454">
                  <c:v>-140.68551950897935</c:v>
                </c:pt>
                <c:pt idx="455">
                  <c:v>-140.90209846399446</c:v>
                </c:pt>
                <c:pt idx="456">
                  <c:v>-141.11856834967287</c:v>
                </c:pt>
                <c:pt idx="457">
                  <c:v>-141.3400582397359</c:v>
                </c:pt>
                <c:pt idx="458">
                  <c:v>-141.56142544903093</c:v>
                </c:pt>
                <c:pt idx="459">
                  <c:v>-141.78266593905667</c:v>
                </c:pt>
                <c:pt idx="460">
                  <c:v>-142.0037757996796</c:v>
                </c:pt>
                <c:pt idx="461">
                  <c:v>-142.22987215473248</c:v>
                </c:pt>
                <c:pt idx="462">
                  <c:v>-142.45582387004706</c:v>
                </c:pt>
                <c:pt idx="463">
                  <c:v>-142.68162715438999</c:v>
                </c:pt>
                <c:pt idx="464">
                  <c:v>-142.90727834396759</c:v>
                </c:pt>
                <c:pt idx="465">
                  <c:v>-143.13805705692761</c:v>
                </c:pt>
                <c:pt idx="466">
                  <c:v>-143.36866909265126</c:v>
                </c:pt>
                <c:pt idx="467">
                  <c:v>-143.59911091828857</c:v>
                </c:pt>
                <c:pt idx="468">
                  <c:v>-143.82937912762054</c:v>
                </c:pt>
                <c:pt idx="469">
                  <c:v>-144.064737607464</c:v>
                </c:pt>
                <c:pt idx="470">
                  <c:v>-144.29990761082439</c:v>
                </c:pt>
                <c:pt idx="471">
                  <c:v>-144.53488588343274</c:v>
                </c:pt>
                <c:pt idx="472">
                  <c:v>-144.76966929654702</c:v>
                </c:pt>
                <c:pt idx="473">
                  <c:v>-145.0098544437526</c:v>
                </c:pt>
                <c:pt idx="474">
                  <c:v>-145.24982906539188</c:v>
                </c:pt>
                <c:pt idx="475">
                  <c:v>-145.48959019234516</c:v>
                </c:pt>
                <c:pt idx="476">
                  <c:v>-145.72913498033594</c:v>
                </c:pt>
                <c:pt idx="477">
                  <c:v>-145.97404001256754</c:v>
                </c:pt>
                <c:pt idx="478">
                  <c:v>-146.21871285725422</c:v>
                </c:pt>
                <c:pt idx="479">
                  <c:v>-146.46315085258846</c:v>
                </c:pt>
                <c:pt idx="480">
                  <c:v>-146.70735146055483</c:v>
                </c:pt>
                <c:pt idx="481">
                  <c:v>-146.95686981063363</c:v>
                </c:pt>
                <c:pt idx="482">
                  <c:v>-147.20613484160972</c:v>
                </c:pt>
                <c:pt idx="483">
                  <c:v>-147.45514421996577</c:v>
                </c:pt>
                <c:pt idx="484">
                  <c:v>-147.70389573454744</c:v>
                </c:pt>
                <c:pt idx="485">
                  <c:v>-147.95809468261194</c:v>
                </c:pt>
                <c:pt idx="486">
                  <c:v>-148.21201947681243</c:v>
                </c:pt>
                <c:pt idx="487">
                  <c:v>-148.4656681276289</c:v>
                </c:pt>
                <c:pt idx="488">
                  <c:v>-148.71903876640903</c:v>
                </c:pt>
                <c:pt idx="489">
                  <c:v>-148.97815629171996</c:v>
                </c:pt>
                <c:pt idx="490">
                  <c:v>-149.23697881020138</c:v>
                </c:pt>
                <c:pt idx="491">
                  <c:v>-149.49550469016239</c:v>
                </c:pt>
                <c:pt idx="492">
                  <c:v>-149.75373241946917</c:v>
                </c:pt>
                <c:pt idx="493">
                  <c:v>-150.01765934345923</c:v>
                </c:pt>
                <c:pt idx="494">
                  <c:v>-150.28127124509086</c:v>
                </c:pt>
                <c:pt idx="495">
                  <c:v>-150.54456687274259</c:v>
                </c:pt>
                <c:pt idx="496">
                  <c:v>-150.80754509251094</c:v>
                </c:pt>
                <c:pt idx="497">
                  <c:v>-151.07634515480234</c:v>
                </c:pt>
                <c:pt idx="498">
                  <c:v>-151.34481074717272</c:v>
                </c:pt>
                <c:pt idx="499">
                  <c:v>-151.61294101678959</c:v>
                </c:pt>
                <c:pt idx="500">
                  <c:v>-151.88073522643367</c:v>
                </c:pt>
                <c:pt idx="501">
                  <c:v>-152.15447182844221</c:v>
                </c:pt>
                <c:pt idx="502">
                  <c:v>-152.42785519008956</c:v>
                </c:pt>
                <c:pt idx="503">
                  <c:v>-152.70088487649403</c:v>
                </c:pt>
                <c:pt idx="504">
                  <c:v>-152.97356056593759</c:v>
                </c:pt>
                <c:pt idx="505">
                  <c:v>-153.25212844229944</c:v>
                </c:pt>
                <c:pt idx="506">
                  <c:v>-153.53032555230789</c:v>
                </c:pt>
                <c:pt idx="507">
                  <c:v>-153.80815189816752</c:v>
                </c:pt>
                <c:pt idx="508">
                  <c:v>-154.08560759210596</c:v>
                </c:pt>
                <c:pt idx="509">
                  <c:v>-154.36907371626043</c:v>
                </c:pt>
                <c:pt idx="510">
                  <c:v>-154.6521524849208</c:v>
                </c:pt>
                <c:pt idx="511">
                  <c:v>-154.93484435441709</c:v>
                </c:pt>
                <c:pt idx="512">
                  <c:v>-155.2171498874778</c:v>
                </c:pt>
                <c:pt idx="513">
                  <c:v>-155.5057496007467</c:v>
                </c:pt>
                <c:pt idx="514">
                  <c:v>-155.7939459603692</c:v>
                </c:pt>
                <c:pt idx="515">
                  <c:v>-156.08173989479005</c:v>
                </c:pt>
                <c:pt idx="516">
                  <c:v>-156.36913243487911</c:v>
                </c:pt>
                <c:pt idx="517">
                  <c:v>-156.6627671638297</c:v>
                </c:pt>
                <c:pt idx="518">
                  <c:v>-156.95598418623575</c:v>
                </c:pt>
                <c:pt idx="519">
                  <c:v>-157.24878491696586</c:v>
                </c:pt>
                <c:pt idx="520">
                  <c:v>-157.54117086839719</c:v>
                </c:pt>
                <c:pt idx="521">
                  <c:v>-157.83991344940884</c:v>
                </c:pt>
                <c:pt idx="522">
                  <c:v>-158.13822528045014</c:v>
                </c:pt>
                <c:pt idx="523">
                  <c:v>-158.43610827587977</c:v>
                </c:pt>
                <c:pt idx="524">
                  <c:v>-158.73356444184645</c:v>
                </c:pt>
                <c:pt idx="525">
                  <c:v>-159.03749090849081</c:v>
                </c:pt>
                <c:pt idx="526">
                  <c:v>-159.34097501328498</c:v>
                </c:pt>
                <c:pt idx="527">
                  <c:v>-159.64401918056606</c:v>
                </c:pt>
                <c:pt idx="528">
                  <c:v>-159.94662591981719</c:v>
                </c:pt>
                <c:pt idx="529">
                  <c:v>-160.25581612727041</c:v>
                </c:pt>
                <c:pt idx="530">
                  <c:v>-160.56455390909065</c:v>
                </c:pt>
                <c:pt idx="531">
                  <c:v>-160.87284220673425</c:v>
                </c:pt>
                <c:pt idx="532">
                  <c:v>-161.18068403910252</c:v>
                </c:pt>
                <c:pt idx="533">
                  <c:v>-161.4953845412789</c:v>
                </c:pt>
                <c:pt idx="534">
                  <c:v>-161.80962373516456</c:v>
                </c:pt>
                <c:pt idx="535">
                  <c:v>-162.12340508768594</c:v>
                </c:pt>
                <c:pt idx="536">
                  <c:v>-162.43673213445197</c:v>
                </c:pt>
                <c:pt idx="537">
                  <c:v>-162.75670675946969</c:v>
                </c:pt>
                <c:pt idx="538">
                  <c:v>-163.07621389858528</c:v>
                </c:pt>
                <c:pt idx="539">
                  <c:v>-163.3952575312484</c:v>
                </c:pt>
                <c:pt idx="540">
                  <c:v>-163.71384169519447</c:v>
                </c:pt>
                <c:pt idx="541">
                  <c:v>-164.03950891071582</c:v>
                </c:pt>
                <c:pt idx="542">
                  <c:v>-164.36470334114821</c:v>
                </c:pt>
                <c:pt idx="543">
                  <c:v>-164.68942948195482</c:v>
                </c:pt>
                <c:pt idx="544">
                  <c:v>-165.01369187521129</c:v>
                </c:pt>
                <c:pt idx="545">
                  <c:v>-165.34499031802585</c:v>
                </c:pt>
                <c:pt idx="546">
                  <c:v>-165.67581303140136</c:v>
                </c:pt>
                <c:pt idx="547">
                  <c:v>-166.00616500490545</c:v>
                </c:pt>
                <c:pt idx="548">
                  <c:v>-166.33605126124078</c:v>
                </c:pt>
                <c:pt idx="549">
                  <c:v>-166.67308822029824</c:v>
                </c:pt>
                <c:pt idx="550">
                  <c:v>-167.00964840178847</c:v>
                </c:pt>
                <c:pt idx="551">
                  <c:v>-167.34573726474576</c:v>
                </c:pt>
                <c:pt idx="552">
                  <c:v>-167.68136028600543</c:v>
                </c:pt>
                <c:pt idx="553">
                  <c:v>-168.02440734779049</c:v>
                </c:pt>
                <c:pt idx="554">
                  <c:v>-168.36697802604905</c:v>
                </c:pt>
                <c:pt idx="555">
                  <c:v>-168.70907822273347</c:v>
                </c:pt>
                <c:pt idx="556">
                  <c:v>-169.0507138402233</c:v>
                </c:pt>
                <c:pt idx="557">
                  <c:v>-169.74859003741895</c:v>
                </c:pt>
                <c:pt idx="558">
                  <c:v>-170.44459485182136</c:v>
                </c:pt>
                <c:pt idx="559">
                  <c:v>-171.15466908454289</c:v>
                </c:pt>
                <c:pt idx="560">
                  <c:v>-171.86289078621925</c:v>
                </c:pt>
                <c:pt idx="561">
                  <c:v>-172.58605147200072</c:v>
                </c:pt>
                <c:pt idx="562">
                  <c:v>-173.30738114963438</c:v>
                </c:pt>
                <c:pt idx="563">
                  <c:v>-174.04235618520821</c:v>
                </c:pt>
                <c:pt idx="564">
                  <c:v>-174.77553418625266</c:v>
                </c:pt>
                <c:pt idx="565">
                  <c:v>-175.52538784701494</c:v>
                </c:pt>
                <c:pt idx="566">
                  <c:v>-176.27346834626701</c:v>
                </c:pt>
                <c:pt idx="567">
                  <c:v>-177.03816335080421</c:v>
                </c:pt>
                <c:pt idx="568">
                  <c:v>-177.80111285084561</c:v>
                </c:pt>
                <c:pt idx="569">
                  <c:v>-178.57758011956753</c:v>
                </c:pt>
                <c:pt idx="570">
                  <c:v>-179.35234398651403</c:v>
                </c:pt>
                <c:pt idx="571">
                  <c:v>-180.14665668653097</c:v>
                </c:pt>
                <c:pt idx="572">
                  <c:v>-180.93927960391892</c:v>
                </c:pt>
                <c:pt idx="573">
                  <c:v>-181.74534157026881</c:v>
                </c:pt>
                <c:pt idx="574">
                  <c:v>-182.54974797912891</c:v>
                </c:pt>
                <c:pt idx="575">
                  <c:v>-183.37356819613134</c:v>
                </c:pt>
                <c:pt idx="576">
                  <c:v>-184.19573301288236</c:v>
                </c:pt>
                <c:pt idx="577">
                  <c:v>-187.65884259125835</c:v>
                </c:pt>
                <c:pt idx="578">
                  <c:v>-191.09452657808481</c:v>
                </c:pt>
                <c:pt idx="579">
                  <c:v>-198.52439289131999</c:v>
                </c:pt>
                <c:pt idx="580">
                  <c:v>-206.48628112514029</c:v>
                </c:pt>
                <c:pt idx="581">
                  <c:v>-214.87906368368195</c:v>
                </c:pt>
                <c:pt idx="582">
                  <c:v>-223.51242956669898</c:v>
                </c:pt>
                <c:pt idx="583">
                  <c:v>-232.08480210385488</c:v>
                </c:pt>
                <c:pt idx="584">
                  <c:v>-240.26021120867063</c:v>
                </c:pt>
                <c:pt idx="585">
                  <c:v>-247.72534177388556</c:v>
                </c:pt>
                <c:pt idx="586">
                  <c:v>-254.27319090292781</c:v>
                </c:pt>
                <c:pt idx="587">
                  <c:v>-259.81974183458908</c:v>
                </c:pt>
                <c:pt idx="588">
                  <c:v>-264.37505041821117</c:v>
                </c:pt>
                <c:pt idx="589">
                  <c:v>-268.02430379539805</c:v>
                </c:pt>
                <c:pt idx="590">
                  <c:v>-270.8792351454897</c:v>
                </c:pt>
                <c:pt idx="591">
                  <c:v>-273.06236441948658</c:v>
                </c:pt>
                <c:pt idx="592">
                  <c:v>-274.69100186247078</c:v>
                </c:pt>
                <c:pt idx="593">
                  <c:v>-275.87197720821871</c:v>
                </c:pt>
                <c:pt idx="594">
                  <c:v>-276.69783080758157</c:v>
                </c:pt>
                <c:pt idx="595">
                  <c:v>-277.24799037778939</c:v>
                </c:pt>
                <c:pt idx="596">
                  <c:v>-277.58881102930735</c:v>
                </c:pt>
                <c:pt idx="597">
                  <c:v>-277.77535995014904</c:v>
                </c:pt>
                <c:pt idx="598">
                  <c:v>-277.85255670295652</c:v>
                </c:pt>
                <c:pt idx="599">
                  <c:v>-277.85680734434163</c:v>
                </c:pt>
                <c:pt idx="600">
                  <c:v>-277.81726777110242</c:v>
                </c:pt>
              </c:numCache>
            </c:numRef>
          </c:yVal>
          <c:smooth val="0"/>
          <c:extLst>
            <c:ext xmlns:c16="http://schemas.microsoft.com/office/drawing/2014/chart" uri="{C3380CC4-5D6E-409C-BE32-E72D297353CC}">
              <c16:uniqueId val="{00000001-1839-4D61-A0B5-FA68D8BCC26F}"/>
            </c:ext>
          </c:extLst>
        </c:ser>
        <c:dLbls>
          <c:showLegendKey val="0"/>
          <c:showVal val="0"/>
          <c:showCatName val="0"/>
          <c:showSerName val="0"/>
          <c:showPercent val="0"/>
          <c:showBubbleSize val="0"/>
        </c:dLbls>
        <c:axId val="333321344"/>
        <c:axId val="333322880"/>
      </c:scatterChart>
      <c:valAx>
        <c:axId val="332788864"/>
        <c:scaling>
          <c:logBase val="10"/>
          <c:orientation val="minMax"/>
          <c:max val="1000000"/>
          <c:min val="10"/>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200" b="1" i="0" u="none" strike="noStrike" baseline="0">
                    <a:solidFill>
                      <a:srgbClr val="000000"/>
                    </a:solidFill>
                    <a:latin typeface="Arial"/>
                    <a:ea typeface="Arial"/>
                    <a:cs typeface="Arial"/>
                  </a:defRPr>
                </a:pPr>
                <a:r>
                  <a:rPr lang="en-US"/>
                  <a:t>Frequency (Hz)</a:t>
                </a:r>
              </a:p>
            </c:rich>
          </c:tx>
          <c:layout>
            <c:manualLayout>
              <c:xMode val="edge"/>
              <c:yMode val="edge"/>
              <c:x val="0.42857142857142855"/>
              <c:y val="0.8836114034132848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32790784"/>
        <c:crossesAt val="-40"/>
        <c:crossBetween val="midCat"/>
        <c:majorUnit val="10"/>
        <c:minorUnit val="10"/>
      </c:valAx>
      <c:valAx>
        <c:axId val="332790784"/>
        <c:scaling>
          <c:orientation val="minMax"/>
          <c:max val="150"/>
          <c:min val="-40"/>
        </c:scaling>
        <c:delete val="0"/>
        <c:axPos val="l"/>
        <c:majorGridlines>
          <c:spPr>
            <a:ln w="3175">
              <a:solidFill>
                <a:srgbClr val="000000"/>
              </a:solidFill>
              <a:prstDash val="solid"/>
            </a:ln>
          </c:spPr>
        </c:majorGridlines>
        <c:title>
          <c:tx>
            <c:rich>
              <a:bodyPr/>
              <a:lstStyle/>
              <a:p>
                <a:pPr>
                  <a:defRPr sz="1200" b="1" i="0" u="none" strike="noStrike" baseline="0">
                    <a:solidFill>
                      <a:srgbClr val="FF0000"/>
                    </a:solidFill>
                    <a:latin typeface="Arial"/>
                    <a:ea typeface="Arial"/>
                    <a:cs typeface="Arial"/>
                  </a:defRPr>
                </a:pPr>
                <a:r>
                  <a:rPr lang="en-US"/>
                  <a:t>Gain (dB)</a:t>
                </a:r>
              </a:p>
            </c:rich>
          </c:tx>
          <c:layout>
            <c:manualLayout>
              <c:xMode val="edge"/>
              <c:yMode val="edge"/>
              <c:x val="1.5549076773566581E-2"/>
              <c:y val="0.39271623305151382"/>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FF0000"/>
                </a:solidFill>
                <a:latin typeface="Arial"/>
                <a:ea typeface="Arial"/>
                <a:cs typeface="Arial"/>
              </a:defRPr>
            </a:pPr>
            <a:endParaRPr lang="en-US"/>
          </a:p>
        </c:txPr>
        <c:crossAx val="332788864"/>
        <c:crossesAt val="0.1"/>
        <c:crossBetween val="midCat"/>
        <c:majorUnit val="20"/>
        <c:minorUnit val="4"/>
      </c:valAx>
      <c:valAx>
        <c:axId val="333321344"/>
        <c:scaling>
          <c:logBase val="10"/>
          <c:orientation val="minMax"/>
        </c:scaling>
        <c:delete val="1"/>
        <c:axPos val="t"/>
        <c:numFmt formatCode="General" sourceLinked="1"/>
        <c:majorTickMark val="out"/>
        <c:minorTickMark val="none"/>
        <c:tickLblPos val="none"/>
        <c:crossAx val="333322880"/>
        <c:crossesAt val="0"/>
        <c:crossBetween val="midCat"/>
      </c:valAx>
      <c:valAx>
        <c:axId val="333322880"/>
        <c:scaling>
          <c:orientation val="minMax"/>
          <c:max val="-45"/>
          <c:min val="-180"/>
        </c:scaling>
        <c:delete val="0"/>
        <c:axPos val="r"/>
        <c:title>
          <c:tx>
            <c:rich>
              <a:bodyPr/>
              <a:lstStyle/>
              <a:p>
                <a:pPr>
                  <a:defRPr sz="1200" b="1" i="0" u="none" strike="noStrike" baseline="0">
                    <a:solidFill>
                      <a:srgbClr val="0000FF"/>
                    </a:solidFill>
                    <a:latin typeface="Arial"/>
                    <a:ea typeface="Arial"/>
                    <a:cs typeface="Arial"/>
                  </a:defRPr>
                </a:pPr>
                <a:r>
                  <a:rPr lang="en-US"/>
                  <a:t>Phase (°)</a:t>
                </a:r>
              </a:p>
            </c:rich>
          </c:tx>
          <c:layout>
            <c:manualLayout>
              <c:xMode val="edge"/>
              <c:yMode val="edge"/>
              <c:x val="0.96550048590864856"/>
              <c:y val="0.3982582822308516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FF"/>
                </a:solidFill>
                <a:latin typeface="Arial"/>
                <a:ea typeface="Arial"/>
                <a:cs typeface="Arial"/>
              </a:defRPr>
            </a:pPr>
            <a:endParaRPr lang="en-US"/>
          </a:p>
        </c:txPr>
        <c:crossAx val="333321344"/>
        <c:crosses val="max"/>
        <c:crossBetween val="midCat"/>
        <c:majorUnit val="45"/>
        <c:minorUnit val="22.5"/>
      </c:valAx>
      <c:spPr>
        <a:noFill/>
        <a:ln w="25400">
          <a:noFill/>
        </a:ln>
      </c:spPr>
    </c:plotArea>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167" r="0.75000000000000167"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Bode Plot, V</a:t>
            </a:r>
            <a:r>
              <a:rPr lang="en-US" sz="2000" u="none" baseline="-25000">
                <a:latin typeface="Arial" pitchFamily="34" charset="0"/>
                <a:cs typeface="Arial" pitchFamily="34" charset="0"/>
              </a:rPr>
              <a:t>IN</a:t>
            </a:r>
            <a:r>
              <a:rPr lang="en-US" sz="2000" u="none" baseline="0">
                <a:latin typeface="Arial" pitchFamily="34" charset="0"/>
                <a:cs typeface="Arial" pitchFamily="34" charset="0"/>
              </a:rPr>
              <a:t> = </a:t>
            </a:r>
            <a:r>
              <a:rPr lang="en-US" sz="2000" u="none">
                <a:latin typeface="Arial" pitchFamily="34" charset="0"/>
                <a:cs typeface="Arial" pitchFamily="34" charset="0"/>
              </a:rPr>
              <a:t>V</a:t>
            </a:r>
            <a:r>
              <a:rPr lang="en-US" sz="2000" u="none" baseline="-25000">
                <a:latin typeface="Arial" pitchFamily="34" charset="0"/>
                <a:cs typeface="Arial" pitchFamily="34" charset="0"/>
              </a:rPr>
              <a:t>IN(nom)</a:t>
            </a:r>
            <a:endParaRPr lang="en-US" sz="2000" u="none">
              <a:latin typeface="Arial" pitchFamily="34" charset="0"/>
              <a:cs typeface="Arial" pitchFamily="34" charset="0"/>
            </a:endParaRP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8"/>
        </c:manualLayout>
      </c:layout>
      <c:scatterChart>
        <c:scatterStyle val="lineMarker"/>
        <c:varyColors val="0"/>
        <c:ser>
          <c:idx val="10"/>
          <c:order val="5"/>
          <c:tx>
            <c:v>FPCOMP</c:v>
          </c:tx>
          <c:spPr>
            <a:ln>
              <a:solidFill>
                <a:schemeClr val="tx1"/>
              </a:solidFill>
            </a:ln>
          </c:spPr>
          <c:marker>
            <c:symbol val="x"/>
            <c:size val="8"/>
            <c:spPr>
              <a:noFill/>
              <a:ln w="22225">
                <a:solidFill>
                  <a:schemeClr val="tx1"/>
                </a:solidFill>
              </a:ln>
            </c:spPr>
          </c:marker>
          <c:dLbls>
            <c:dLbl>
              <c:idx val="0"/>
              <c:layout>
                <c:manualLayout>
                  <c:x val="5.8718924670594424E-3"/>
                  <c:y val="-8.0265817928798291E-3"/>
                </c:manualLayout>
              </c:layout>
              <c:tx>
                <c:rich>
                  <a:bodyPr/>
                  <a:lstStyle/>
                  <a:p>
                    <a:r>
                      <a:rPr lang="en-US">
                        <a:solidFill>
                          <a:srgbClr val="0000FF"/>
                        </a:solidFill>
                        <a:latin typeface="Arial" pitchFamily="34" charset="0"/>
                        <a:cs typeface="Arial" pitchFamily="34" charset="0"/>
                      </a:rPr>
                      <a:t>F</a:t>
                    </a:r>
                    <a:r>
                      <a:rPr lang="en-US" baseline="-25000">
                        <a:solidFill>
                          <a:srgbClr val="0000FF"/>
                        </a:solidFill>
                        <a:latin typeface="Arial" pitchFamily="34" charset="0"/>
                        <a:cs typeface="Arial" pitchFamily="34" charset="0"/>
                      </a:rPr>
                      <a:t>PCOMP</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BA7-4FA6-AB73-85DC72E7447B}"/>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Calculations'!$A$627</c:f>
              <c:numCache>
                <c:formatCode>0</c:formatCode>
                <c:ptCount val="1"/>
                <c:pt idx="0">
                  <c:v>110375.27593818985</c:v>
                </c:pt>
              </c:numCache>
            </c:numRef>
          </c:xVal>
          <c:yVal>
            <c:numRef>
              <c:f>'Stability Calculations'!$U$627</c:f>
              <c:numCache>
                <c:formatCode>0.00</c:formatCode>
                <c:ptCount val="1"/>
                <c:pt idx="0">
                  <c:v>-12.540450355082836</c:v>
                </c:pt>
              </c:numCache>
            </c:numRef>
          </c:yVal>
          <c:smooth val="0"/>
          <c:extLst>
            <c:ext xmlns:c16="http://schemas.microsoft.com/office/drawing/2014/chart" uri="{C3380CC4-5D6E-409C-BE32-E72D297353CC}">
              <c16:uniqueId val="{00000001-4BA7-4FA6-AB73-85DC72E7447B}"/>
            </c:ext>
          </c:extLst>
        </c:ser>
        <c:dLbls>
          <c:showLegendKey val="0"/>
          <c:showVal val="0"/>
          <c:showCatName val="0"/>
          <c:showSerName val="0"/>
          <c:showPercent val="0"/>
          <c:showBubbleSize val="0"/>
        </c:dLbls>
        <c:axId val="333063296"/>
        <c:axId val="333065216"/>
      </c:scatterChart>
      <c:scatterChart>
        <c:scatterStyle val="smoothMarker"/>
        <c:varyColors val="0"/>
        <c:ser>
          <c:idx val="2"/>
          <c:order val="0"/>
          <c:tx>
            <c:v>Loop Gain</c:v>
          </c:tx>
          <c:spPr>
            <a:ln w="31750">
              <a:solidFill>
                <a:srgbClr val="FF0000"/>
              </a:solidFill>
              <a:prstDash val="solid"/>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Calculations'!$U$13:$U$613</c:f>
              <c:numCache>
                <c:formatCode>0.00</c:formatCode>
                <c:ptCount val="601"/>
                <c:pt idx="0">
                  <c:v>101.50811174328545</c:v>
                </c:pt>
                <c:pt idx="1">
                  <c:v>101.42267904357782</c:v>
                </c:pt>
                <c:pt idx="2">
                  <c:v>101.32215060808099</c:v>
                </c:pt>
                <c:pt idx="3">
                  <c:v>101.20429715626393</c:v>
                </c:pt>
                <c:pt idx="4">
                  <c:v>101.06681494883253</c:v>
                </c:pt>
                <c:pt idx="5">
                  <c:v>100.90693395564537</c:v>
                </c:pt>
                <c:pt idx="6">
                  <c:v>100.72226173271127</c:v>
                </c:pt>
                <c:pt idx="7">
                  <c:v>100.51009336423778</c:v>
                </c:pt>
                <c:pt idx="8">
                  <c:v>100.26811557124711</c:v>
                </c:pt>
                <c:pt idx="9">
                  <c:v>99.993897041755474</c:v>
                </c:pt>
                <c:pt idx="10">
                  <c:v>99.685676254953975</c:v>
                </c:pt>
                <c:pt idx="11">
                  <c:v>99.341957647154103</c:v>
                </c:pt>
                <c:pt idx="12">
                  <c:v>98.961607225334177</c:v>
                </c:pt>
                <c:pt idx="13">
                  <c:v>98.544657165122018</c:v>
                </c:pt>
                <c:pt idx="14">
                  <c:v>98.091067931339381</c:v>
                </c:pt>
                <c:pt idx="15">
                  <c:v>97.601883256584458</c:v>
                </c:pt>
                <c:pt idx="16">
                  <c:v>97.078491005847525</c:v>
                </c:pt>
                <c:pt idx="17">
                  <c:v>96.522848886576327</c:v>
                </c:pt>
                <c:pt idx="18">
                  <c:v>95.937017339929</c:v>
                </c:pt>
                <c:pt idx="19">
                  <c:v>95.3236047971007</c:v>
                </c:pt>
                <c:pt idx="20">
                  <c:v>94.685061923162635</c:v>
                </c:pt>
                <c:pt idx="21">
                  <c:v>94.024110502052807</c:v>
                </c:pt>
                <c:pt idx="22">
                  <c:v>93.343137479945653</c:v>
                </c:pt>
                <c:pt idx="23">
                  <c:v>92.644714033942392</c:v>
                </c:pt>
                <c:pt idx="24">
                  <c:v>91.930895864033104</c:v>
                </c:pt>
                <c:pt idx="25">
                  <c:v>91.203829206766912</c:v>
                </c:pt>
                <c:pt idx="26">
                  <c:v>90.46517266803356</c:v>
                </c:pt>
                <c:pt idx="27">
                  <c:v>89.716783189865367</c:v>
                </c:pt>
                <c:pt idx="28">
                  <c:v>88.960056553386252</c:v>
                </c:pt>
                <c:pt idx="29">
                  <c:v>88.196704220833126</c:v>
                </c:pt>
                <c:pt idx="30">
                  <c:v>87.426491874664137</c:v>
                </c:pt>
                <c:pt idx="31">
                  <c:v>86.65139280945931</c:v>
                </c:pt>
                <c:pt idx="32">
                  <c:v>85.87164437574495</c:v>
                </c:pt>
                <c:pt idx="33">
                  <c:v>85.08843978962696</c:v>
                </c:pt>
                <c:pt idx="34">
                  <c:v>84.301701576054029</c:v>
                </c:pt>
                <c:pt idx="35">
                  <c:v>83.512299602618313</c:v>
                </c:pt>
                <c:pt idx="36">
                  <c:v>82.720454457914315</c:v>
                </c:pt>
                <c:pt idx="37">
                  <c:v>81.926000109698066</c:v>
                </c:pt>
                <c:pt idx="38">
                  <c:v>81.129883408874107</c:v>
                </c:pt>
                <c:pt idx="39">
                  <c:v>80.331587353543057</c:v>
                </c:pt>
                <c:pt idx="40">
                  <c:v>79.531473831755648</c:v>
                </c:pt>
                <c:pt idx="41">
                  <c:v>78.729473138621771</c:v>
                </c:pt>
                <c:pt idx="42">
                  <c:v>77.925633129926752</c:v>
                </c:pt>
                <c:pt idx="43">
                  <c:v>77.119590576720881</c:v>
                </c:pt>
                <c:pt idx="44">
                  <c:v>76.31136527694116</c:v>
                </c:pt>
                <c:pt idx="45">
                  <c:v>75.500527040026583</c:v>
                </c:pt>
                <c:pt idx="46">
                  <c:v>74.686892613399309</c:v>
                </c:pt>
                <c:pt idx="47">
                  <c:v>73.869850801229632</c:v>
                </c:pt>
                <c:pt idx="48">
                  <c:v>73.049067150866392</c:v>
                </c:pt>
                <c:pt idx="49">
                  <c:v>72.223683988913237</c:v>
                </c:pt>
                <c:pt idx="50">
                  <c:v>71.393053408706834</c:v>
                </c:pt>
                <c:pt idx="51">
                  <c:v>70.556063549991407</c:v>
                </c:pt>
                <c:pt idx="52">
                  <c:v>69.711905526659578</c:v>
                </c:pt>
                <c:pt idx="53">
                  <c:v>68.85930100404309</c:v>
                </c:pt>
                <c:pt idx="54">
                  <c:v>67.997356641130281</c:v>
                </c:pt>
                <c:pt idx="55">
                  <c:v>67.122978181207188</c:v>
                </c:pt>
                <c:pt idx="56">
                  <c:v>66.235542552106992</c:v>
                </c:pt>
                <c:pt idx="57">
                  <c:v>65.332415819687299</c:v>
                </c:pt>
                <c:pt idx="58">
                  <c:v>64.41202879099545</c:v>
                </c:pt>
                <c:pt idx="59">
                  <c:v>63.471304360575587</c:v>
                </c:pt>
                <c:pt idx="60">
                  <c:v>62.508295230085352</c:v>
                </c:pt>
                <c:pt idx="61">
                  <c:v>61.520355453469165</c:v>
                </c:pt>
                <c:pt idx="62">
                  <c:v>60.504480504716938</c:v>
                </c:pt>
                <c:pt idx="63">
                  <c:v>59.459340302349695</c:v>
                </c:pt>
                <c:pt idx="64">
                  <c:v>58.382076220088493</c:v>
                </c:pt>
                <c:pt idx="65">
                  <c:v>57.271453442742683</c:v>
                </c:pt>
                <c:pt idx="66">
                  <c:v>56.12625252101823</c:v>
                </c:pt>
                <c:pt idx="67">
                  <c:v>54.946104141386122</c:v>
                </c:pt>
                <c:pt idx="68">
                  <c:v>53.730778296414734</c:v>
                </c:pt>
                <c:pt idx="69">
                  <c:v>52.481386128926758</c:v>
                </c:pt>
                <c:pt idx="70">
                  <c:v>51.199120982690303</c:v>
                </c:pt>
                <c:pt idx="71">
                  <c:v>49.886286677880577</c:v>
                </c:pt>
                <c:pt idx="72">
                  <c:v>48.545164016920268</c:v>
                </c:pt>
                <c:pt idx="73">
                  <c:v>47.179070114020838</c:v>
                </c:pt>
                <c:pt idx="74">
                  <c:v>45.790966471571515</c:v>
                </c:pt>
                <c:pt idx="75">
                  <c:v>44.384605230116811</c:v>
                </c:pt>
                <c:pt idx="76">
                  <c:v>42.963348971953621</c:v>
                </c:pt>
                <c:pt idx="77">
                  <c:v>41.53143590114513</c:v>
                </c:pt>
                <c:pt idx="78">
                  <c:v>40.092651079036692</c:v>
                </c:pt>
                <c:pt idx="79">
                  <c:v>38.651752620688349</c:v>
                </c:pt>
                <c:pt idx="80">
                  <c:v>37.210171865212061</c:v>
                </c:pt>
                <c:pt idx="81">
                  <c:v>35.773790058445378</c:v>
                </c:pt>
                <c:pt idx="82">
                  <c:v>34.345485388036927</c:v>
                </c:pt>
                <c:pt idx="83">
                  <c:v>32.930089690624122</c:v>
                </c:pt>
                <c:pt idx="84">
                  <c:v>31.530259372423487</c:v>
                </c:pt>
                <c:pt idx="85">
                  <c:v>30.150415826903348</c:v>
                </c:pt>
                <c:pt idx="86">
                  <c:v>28.793782695827247</c:v>
                </c:pt>
                <c:pt idx="87">
                  <c:v>27.462816924412312</c:v>
                </c:pt>
                <c:pt idx="88">
                  <c:v>26.161587820356566</c:v>
                </c:pt>
                <c:pt idx="89">
                  <c:v>24.89137294891988</c:v>
                </c:pt>
                <c:pt idx="90">
                  <c:v>23.654435020329572</c:v>
                </c:pt>
                <c:pt idx="91">
                  <c:v>22.451800311764543</c:v>
                </c:pt>
                <c:pt idx="92">
                  <c:v>21.284086291366741</c:v>
                </c:pt>
                <c:pt idx="93">
                  <c:v>20.150727017626213</c:v>
                </c:pt>
                <c:pt idx="94">
                  <c:v>19.872809485194466</c:v>
                </c:pt>
                <c:pt idx="95">
                  <c:v>19.733780460912623</c:v>
                </c:pt>
                <c:pt idx="96">
                  <c:v>19.596859335287895</c:v>
                </c:pt>
                <c:pt idx="97">
                  <c:v>19.458887310335101</c:v>
                </c:pt>
                <c:pt idx="98">
                  <c:v>19.323005121997532</c:v>
                </c:pt>
                <c:pt idx="99">
                  <c:v>19.186043660822051</c:v>
                </c:pt>
                <c:pt idx="100">
                  <c:v>19.051154644265782</c:v>
                </c:pt>
                <c:pt idx="101">
                  <c:v>18.915262610748879</c:v>
                </c:pt>
                <c:pt idx="102">
                  <c:v>18.781423142870711</c:v>
                </c:pt>
                <c:pt idx="103">
                  <c:v>18.646456289975209</c:v>
                </c:pt>
                <c:pt idx="104">
                  <c:v>18.513525738961444</c:v>
                </c:pt>
                <c:pt idx="105">
                  <c:v>18.379545230521877</c:v>
                </c:pt>
                <c:pt idx="106">
                  <c:v>18.24758222834976</c:v>
                </c:pt>
                <c:pt idx="107">
                  <c:v>18.114641272751257</c:v>
                </c:pt>
                <c:pt idx="108">
                  <c:v>17.983696752424322</c:v>
                </c:pt>
                <c:pt idx="109">
                  <c:v>17.851752003632186</c:v>
                </c:pt>
                <c:pt idx="110">
                  <c:v>17.721783243874118</c:v>
                </c:pt>
                <c:pt idx="111">
                  <c:v>17.590708552331783</c:v>
                </c:pt>
                <c:pt idx="112">
                  <c:v>17.461592497976874</c:v>
                </c:pt>
                <c:pt idx="113">
                  <c:v>17.331443150267305</c:v>
                </c:pt>
                <c:pt idx="114">
                  <c:v>17.203232806865032</c:v>
                </c:pt>
                <c:pt idx="115">
                  <c:v>17.073975235037107</c:v>
                </c:pt>
                <c:pt idx="116">
                  <c:v>16.946637407028042</c:v>
                </c:pt>
                <c:pt idx="117">
                  <c:v>16.818240758022661</c:v>
                </c:pt>
                <c:pt idx="118">
                  <c:v>16.691744899143941</c:v>
                </c:pt>
                <c:pt idx="119">
                  <c:v>16.564257496546272</c:v>
                </c:pt>
                <c:pt idx="120">
                  <c:v>16.438649932101839</c:v>
                </c:pt>
                <c:pt idx="121">
                  <c:v>16.312038831105891</c:v>
                </c:pt>
                <c:pt idx="122">
                  <c:v>16.187287029248193</c:v>
                </c:pt>
                <c:pt idx="123">
                  <c:v>16.061449363887707</c:v>
                </c:pt>
                <c:pt idx="124">
                  <c:v>15.937452919679929</c:v>
                </c:pt>
                <c:pt idx="125">
                  <c:v>15.812436840515872</c:v>
                </c:pt>
                <c:pt idx="126">
                  <c:v>15.689241987792052</c:v>
                </c:pt>
                <c:pt idx="127">
                  <c:v>15.565020890634852</c:v>
                </c:pt>
                <c:pt idx="128">
                  <c:v>15.442601305271303</c:v>
                </c:pt>
                <c:pt idx="129">
                  <c:v>15.319150372484746</c:v>
                </c:pt>
                <c:pt idx="130">
                  <c:v>15.197481483474499</c:v>
                </c:pt>
                <c:pt idx="131">
                  <c:v>15.074777511643958</c:v>
                </c:pt>
                <c:pt idx="132">
                  <c:v>15.014089688151541</c:v>
                </c:pt>
                <c:pt idx="133">
                  <c:v>14.95383633424222</c:v>
                </c:pt>
                <c:pt idx="134">
                  <c:v>14.892594390972558</c:v>
                </c:pt>
                <c:pt idx="135">
                  <c:v>14.831795059822184</c:v>
                </c:pt>
                <c:pt idx="136">
                  <c:v>14.771432076724258</c:v>
                </c:pt>
                <c:pt idx="137">
                  <c:v>14.711499301559225</c:v>
                </c:pt>
                <c:pt idx="138">
                  <c:v>14.650644521222855</c:v>
                </c:pt>
                <c:pt idx="139">
                  <c:v>14.590227099071257</c:v>
                </c:pt>
                <c:pt idx="140">
                  <c:v>14.530240849831834</c:v>
                </c:pt>
                <c:pt idx="141">
                  <c:v>14.470679710881829</c:v>
                </c:pt>
                <c:pt idx="142">
                  <c:v>14.410140320614914</c:v>
                </c:pt>
                <c:pt idx="143">
                  <c:v>14.350033964310409</c:v>
                </c:pt>
                <c:pt idx="144">
                  <c:v>14.290354517585653</c:v>
                </c:pt>
                <c:pt idx="145">
                  <c:v>14.231095977846696</c:v>
                </c:pt>
                <c:pt idx="146">
                  <c:v>14.170894274812447</c:v>
                </c:pt>
                <c:pt idx="147">
                  <c:v>14.111120868574968</c:v>
                </c:pt>
                <c:pt idx="148">
                  <c:v>14.051769706048304</c:v>
                </c:pt>
                <c:pt idx="149">
                  <c:v>13.992834854764221</c:v>
                </c:pt>
                <c:pt idx="150">
                  <c:v>13.932962145243156</c:v>
                </c:pt>
                <c:pt idx="151">
                  <c:v>13.873513031105409</c:v>
                </c:pt>
                <c:pt idx="152">
                  <c:v>13.814481531422128</c:v>
                </c:pt>
                <c:pt idx="153">
                  <c:v>13.755861784652694</c:v>
                </c:pt>
                <c:pt idx="154">
                  <c:v>13.696282511050654</c:v>
                </c:pt>
                <c:pt idx="155">
                  <c:v>13.637122548503607</c:v>
                </c:pt>
                <c:pt idx="156">
                  <c:v>13.578375980982981</c:v>
                </c:pt>
                <c:pt idx="157">
                  <c:v>13.520037010776536</c:v>
                </c:pt>
                <c:pt idx="158">
                  <c:v>13.460745586104711</c:v>
                </c:pt>
                <c:pt idx="159">
                  <c:v>13.401869185298169</c:v>
                </c:pt>
                <c:pt idx="160">
                  <c:v>13.34340195876287</c:v>
                </c:pt>
                <c:pt idx="161">
                  <c:v>13.285338174074317</c:v>
                </c:pt>
                <c:pt idx="162">
                  <c:v>13.22635505152406</c:v>
                </c:pt>
                <c:pt idx="163">
                  <c:v>13.167782306397886</c:v>
                </c:pt>
                <c:pt idx="164">
                  <c:v>13.109614164497343</c:v>
                </c:pt>
                <c:pt idx="165">
                  <c:v>13.051844967373862</c:v>
                </c:pt>
                <c:pt idx="166">
                  <c:v>12.993112613528993</c:v>
                </c:pt>
                <c:pt idx="167">
                  <c:v>12.934786717733786</c:v>
                </c:pt>
                <c:pt idx="168">
                  <c:v>12.876861567215423</c:v>
                </c:pt>
                <c:pt idx="169">
                  <c:v>12.819331563870227</c:v>
                </c:pt>
                <c:pt idx="170">
                  <c:v>12.7609692644614</c:v>
                </c:pt>
                <c:pt idx="171">
                  <c:v>12.703007799477648</c:v>
                </c:pt>
                <c:pt idx="172">
                  <c:v>12.645441554560378</c:v>
                </c:pt>
                <c:pt idx="173">
                  <c:v>12.588265027920325</c:v>
                </c:pt>
                <c:pt idx="174">
                  <c:v>12.530046011570606</c:v>
                </c:pt>
                <c:pt idx="175">
                  <c:v>12.472225250307492</c:v>
                </c:pt>
                <c:pt idx="176">
                  <c:v>12.414797165567045</c:v>
                </c:pt>
                <c:pt idx="177">
                  <c:v>12.357756290893185</c:v>
                </c:pt>
                <c:pt idx="178">
                  <c:v>12.299708779938607</c:v>
                </c:pt>
                <c:pt idx="179">
                  <c:v>12.242056486504387</c:v>
                </c:pt>
                <c:pt idx="180">
                  <c:v>12.184793878532204</c:v>
                </c:pt>
                <c:pt idx="181">
                  <c:v>12.127915535295788</c:v>
                </c:pt>
                <c:pt idx="182">
                  <c:v>12.070289986109357</c:v>
                </c:pt>
                <c:pt idx="183">
                  <c:v>12.013053175318337</c:v>
                </c:pt>
                <c:pt idx="184">
                  <c:v>11.956199690237032</c:v>
                </c:pt>
                <c:pt idx="185">
                  <c:v>11.899724226759812</c:v>
                </c:pt>
                <c:pt idx="186">
                  <c:v>11.842086722960074</c:v>
                </c:pt>
                <c:pt idx="187">
                  <c:v>11.784837267685258</c:v>
                </c:pt>
                <c:pt idx="188">
                  <c:v>11.727970447886499</c:v>
                </c:pt>
                <c:pt idx="189">
                  <c:v>11.671480959512266</c:v>
                </c:pt>
                <c:pt idx="190">
                  <c:v>11.614296247965237</c:v>
                </c:pt>
                <c:pt idx="191">
                  <c:v>11.55749261877258</c:v>
                </c:pt>
                <c:pt idx="192">
                  <c:v>11.501064789971354</c:v>
                </c:pt>
                <c:pt idx="193">
                  <c:v>11.44500758547597</c:v>
                </c:pt>
                <c:pt idx="194">
                  <c:v>11.3878607236656</c:v>
                </c:pt>
                <c:pt idx="195">
                  <c:v>11.331093459982039</c:v>
                </c:pt>
                <c:pt idx="196">
                  <c:v>11.274700530529396</c:v>
                </c:pt>
                <c:pt idx="197">
                  <c:v>11.218676777159043</c:v>
                </c:pt>
                <c:pt idx="198">
                  <c:v>11.161802357151828</c:v>
                </c:pt>
                <c:pt idx="199">
                  <c:v>11.105302893688119</c:v>
                </c:pt>
                <c:pt idx="200">
                  <c:v>11.049173207068065</c:v>
                </c:pt>
                <c:pt idx="201">
                  <c:v>10.993408221420991</c:v>
                </c:pt>
                <c:pt idx="202">
                  <c:v>10.936819607133357</c:v>
                </c:pt>
                <c:pt idx="203">
                  <c:v>10.880601106176879</c:v>
                </c:pt>
                <c:pt idx="204">
                  <c:v>10.824747627716899</c:v>
                </c:pt>
                <c:pt idx="205">
                  <c:v>10.769254182683854</c:v>
                </c:pt>
                <c:pt idx="206">
                  <c:v>10.712770754085259</c:v>
                </c:pt>
                <c:pt idx="207">
                  <c:v>10.656654914059613</c:v>
                </c:pt>
                <c:pt idx="208">
                  <c:v>10.600901613494072</c:v>
                </c:pt>
                <c:pt idx="209">
                  <c:v>10.54550590420844</c:v>
                </c:pt>
                <c:pt idx="210">
                  <c:v>10.488964958470657</c:v>
                </c:pt>
                <c:pt idx="211">
                  <c:v>10.432791127101833</c:v>
                </c:pt>
                <c:pt idx="212">
                  <c:v>10.376979361179492</c:v>
                </c:pt>
                <c:pt idx="213">
                  <c:v>10.321524712965367</c:v>
                </c:pt>
                <c:pt idx="214">
                  <c:v>10.265327495249942</c:v>
                </c:pt>
                <c:pt idx="215">
                  <c:v>10.209491688175188</c:v>
                </c:pt>
                <c:pt idx="216">
                  <c:v>10.15401235080137</c:v>
                </c:pt>
                <c:pt idx="217">
                  <c:v>10.098884640739254</c:v>
                </c:pt>
                <c:pt idx="218">
                  <c:v>10.042858745400894</c:v>
                </c:pt>
                <c:pt idx="219">
                  <c:v>9.9871907530459012</c:v>
                </c:pt>
                <c:pt idx="220">
                  <c:v>9.9318757860215801</c:v>
                </c:pt>
                <c:pt idx="221">
                  <c:v>9.8769090637627066</c:v>
                </c:pt>
                <c:pt idx="222">
                  <c:v>9.8210720658351445</c:v>
                </c:pt>
                <c:pt idx="223">
                  <c:v>9.7655892087871372</c:v>
                </c:pt>
                <c:pt idx="224">
                  <c:v>9.7104556837220706</c:v>
                </c:pt>
                <c:pt idx="225">
                  <c:v>9.6556667772073883</c:v>
                </c:pt>
                <c:pt idx="226">
                  <c:v>9.599865189755894</c:v>
                </c:pt>
                <c:pt idx="227">
                  <c:v>9.5444158831130537</c:v>
                </c:pt>
                <c:pt idx="228">
                  <c:v>9.4893140788175927</c:v>
                </c:pt>
                <c:pt idx="229">
                  <c:v>9.4345550932446791</c:v>
                </c:pt>
                <c:pt idx="230">
                  <c:v>9.3234253633025901</c:v>
                </c:pt>
                <c:pt idx="231">
                  <c:v>9.2683808184980734</c:v>
                </c:pt>
                <c:pt idx="232">
                  <c:v>9.2136769277850288</c:v>
                </c:pt>
                <c:pt idx="233">
                  <c:v>9.158022553876398</c:v>
                </c:pt>
                <c:pt idx="234">
                  <c:v>9.102715636841932</c:v>
                </c:pt>
                <c:pt idx="235">
                  <c:v>9.0477514823106979</c:v>
                </c:pt>
                <c:pt idx="236">
                  <c:v>8.9931254888364727</c:v>
                </c:pt>
                <c:pt idx="237">
                  <c:v>8.9377349842738045</c:v>
                </c:pt>
                <c:pt idx="238">
                  <c:v>8.8826871104233369</c:v>
                </c:pt>
                <c:pt idx="239">
                  <c:v>8.827977263849716</c:v>
                </c:pt>
                <c:pt idx="240">
                  <c:v>8.7736009317847472</c:v>
                </c:pt>
                <c:pt idx="241">
                  <c:v>8.7181760761789189</c:v>
                </c:pt>
                <c:pt idx="242">
                  <c:v>8.6630926760737736</c:v>
                </c:pt>
                <c:pt idx="243">
                  <c:v>8.6083461456301258</c:v>
                </c:pt>
                <c:pt idx="244">
                  <c:v>8.5539319893303087</c:v>
                </c:pt>
                <c:pt idx="245">
                  <c:v>8.4986508950862376</c:v>
                </c:pt>
                <c:pt idx="246">
                  <c:v>8.4437078502339116</c:v>
                </c:pt>
                <c:pt idx="247">
                  <c:v>8.3890983313868102</c:v>
                </c:pt>
                <c:pt idx="248">
                  <c:v>8.3348179039508121</c:v>
                </c:pt>
                <c:pt idx="249">
                  <c:v>8.2795502483057302</c:v>
                </c:pt>
                <c:pt idx="250">
                  <c:v>8.2246187882967607</c:v>
                </c:pt>
                <c:pt idx="251">
                  <c:v>8.1700190319555013</c:v>
                </c:pt>
                <c:pt idx="252">
                  <c:v>8.115746575378477</c:v>
                </c:pt>
                <c:pt idx="253">
                  <c:v>8.0606587717867555</c:v>
                </c:pt>
                <c:pt idx="254">
                  <c:v>8.0059032578441656</c:v>
                </c:pt>
                <c:pt idx="255">
                  <c:v>7.9514756139297766</c:v>
                </c:pt>
                <c:pt idx="256">
                  <c:v>7.8973715066879393</c:v>
                </c:pt>
                <c:pt idx="257">
                  <c:v>7.8421975031184976</c:v>
                </c:pt>
                <c:pt idx="258">
                  <c:v>7.7873550463452546</c:v>
                </c:pt>
                <c:pt idx="259">
                  <c:v>7.7328397261148201</c:v>
                </c:pt>
                <c:pt idx="260">
                  <c:v>7.6786472182682877</c:v>
                </c:pt>
                <c:pt idx="261">
                  <c:v>7.6235525445739674</c:v>
                </c:pt>
                <c:pt idx="262">
                  <c:v>7.5687866408273905</c:v>
                </c:pt>
                <c:pt idx="263">
                  <c:v>7.5143451465515412</c:v>
                </c:pt>
                <c:pt idx="264">
                  <c:v>7.4602237861388261</c:v>
                </c:pt>
                <c:pt idx="265">
                  <c:v>7.4052262475213562</c:v>
                </c:pt>
                <c:pt idx="266">
                  <c:v>7.3505544563288758</c:v>
                </c:pt>
                <c:pt idx="267">
                  <c:v>7.2962041066011984</c:v>
                </c:pt>
                <c:pt idx="268">
                  <c:v>7.242170975896844</c:v>
                </c:pt>
                <c:pt idx="269">
                  <c:v>7.1871571757550212</c:v>
                </c:pt>
                <c:pt idx="270">
                  <c:v>7.1324673988935423</c:v>
                </c:pt>
                <c:pt idx="271">
                  <c:v>7.078097368095186</c:v>
                </c:pt>
                <c:pt idx="272">
                  <c:v>7.0240428889720627</c:v>
                </c:pt>
                <c:pt idx="273">
                  <c:v>6.9690360495271584</c:v>
                </c:pt>
                <c:pt idx="274">
                  <c:v>6.9143511858067672</c:v>
                </c:pt>
                <c:pt idx="275">
                  <c:v>6.8599840556266454</c:v>
                </c:pt>
                <c:pt idx="276">
                  <c:v>6.8059304987771565</c:v>
                </c:pt>
                <c:pt idx="277">
                  <c:v>6.7510751736073598</c:v>
                </c:pt>
                <c:pt idx="278">
                  <c:v>6.6965380551150151</c:v>
                </c:pt>
                <c:pt idx="279">
                  <c:v>6.6423149698347652</c:v>
                </c:pt>
                <c:pt idx="280">
                  <c:v>6.5884018245568567</c:v>
                </c:pt>
                <c:pt idx="281">
                  <c:v>6.5333467084712602</c:v>
                </c:pt>
                <c:pt idx="282">
                  <c:v>6.4786100495818211</c:v>
                </c:pt>
                <c:pt idx="283">
                  <c:v>6.4241876640831155</c:v>
                </c:pt>
                <c:pt idx="284">
                  <c:v>6.3700754487281213</c:v>
                </c:pt>
                <c:pt idx="285">
                  <c:v>6.3152081436607341</c:v>
                </c:pt>
                <c:pt idx="286">
                  <c:v>6.2606550289204757</c:v>
                </c:pt>
                <c:pt idx="287">
                  <c:v>6.2064119987835467</c:v>
                </c:pt>
                <c:pt idx="288">
                  <c:v>6.1524750261281032</c:v>
                </c:pt>
                <c:pt idx="289">
                  <c:v>6.0974570245612183</c:v>
                </c:pt>
                <c:pt idx="290">
                  <c:v>6.0427527752511034</c:v>
                </c:pt>
                <c:pt idx="291">
                  <c:v>5.9883581754585027</c:v>
                </c:pt>
                <c:pt idx="292">
                  <c:v>5.9342692010045592</c:v>
                </c:pt>
                <c:pt idx="293">
                  <c:v>5.8792424558451959</c:v>
                </c:pt>
                <c:pt idx="294">
                  <c:v>5.8245273461160982</c:v>
                </c:pt>
                <c:pt idx="295">
                  <c:v>5.7701198047216415</c:v>
                </c:pt>
                <c:pt idx="296">
                  <c:v>5.7160158422544507</c:v>
                </c:pt>
                <c:pt idx="297">
                  <c:v>5.6609996836196483</c:v>
                </c:pt>
                <c:pt idx="298">
                  <c:v>5.6062927755626131</c:v>
                </c:pt>
                <c:pt idx="299">
                  <c:v>5.5518910916732445</c:v>
                </c:pt>
                <c:pt idx="300">
                  <c:v>5.4977906822321945</c:v>
                </c:pt>
                <c:pt idx="301">
                  <c:v>5.4428025804063207</c:v>
                </c:pt>
                <c:pt idx="302">
                  <c:v>5.388121102816303</c:v>
                </c:pt>
                <c:pt idx="303">
                  <c:v>5.3337422682291677</c:v>
                </c:pt>
                <c:pt idx="304">
                  <c:v>5.2796621709955991</c:v>
                </c:pt>
                <c:pt idx="305">
                  <c:v>5.2245071193303474</c:v>
                </c:pt>
                <c:pt idx="306">
                  <c:v>5.1696581750255461</c:v>
                </c:pt>
                <c:pt idx="307">
                  <c:v>5.115111360892092</c:v>
                </c:pt>
                <c:pt idx="308">
                  <c:v>5.0608627752589852</c:v>
                </c:pt>
                <c:pt idx="309">
                  <c:v>5.0057747644312904</c:v>
                </c:pt>
                <c:pt idx="310">
                  <c:v>4.9509896947748047</c:v>
                </c:pt>
                <c:pt idx="311">
                  <c:v>4.8965036443961187</c:v>
                </c:pt>
                <c:pt idx="312">
                  <c:v>4.8423127655662874</c:v>
                </c:pt>
                <c:pt idx="313">
                  <c:v>4.7871022702533548</c:v>
                </c:pt>
                <c:pt idx="314">
                  <c:v>4.7321935774319215</c:v>
                </c:pt>
                <c:pt idx="315">
                  <c:v>4.6775827810647339</c:v>
                </c:pt>
                <c:pt idx="316">
                  <c:v>4.6232660489227078</c:v>
                </c:pt>
                <c:pt idx="317">
                  <c:v>4.567956785025939</c:v>
                </c:pt>
                <c:pt idx="318">
                  <c:v>4.5129478548669821</c:v>
                </c:pt>
                <c:pt idx="319">
                  <c:v>4.45823537452981</c:v>
                </c:pt>
                <c:pt idx="320">
                  <c:v>4.4038155333974531</c:v>
                </c:pt>
                <c:pt idx="321">
                  <c:v>4.3484291410832281</c:v>
                </c:pt>
                <c:pt idx="322">
                  <c:v>4.2933413119952855</c:v>
                </c:pt>
                <c:pt idx="323">
                  <c:v>4.2385481900591353</c:v>
                </c:pt>
                <c:pt idx="324">
                  <c:v>4.1840459918524289</c:v>
                </c:pt>
                <c:pt idx="325">
                  <c:v>4.1286021552670027</c:v>
                </c:pt>
                <c:pt idx="326">
                  <c:v>4.073454836770936</c:v>
                </c:pt>
                <c:pt idx="327">
                  <c:v>4.0186002133273266</c:v>
                </c:pt>
                <c:pt idx="328">
                  <c:v>3.9640345337810152</c:v>
                </c:pt>
                <c:pt idx="329">
                  <c:v>3.9084585636551838</c:v>
                </c:pt>
                <c:pt idx="330">
                  <c:v>3.8531777962122571</c:v>
                </c:pt>
                <c:pt idx="331">
                  <c:v>3.7981884273066591</c:v>
                </c:pt>
                <c:pt idx="332">
                  <c:v>3.7434867242647076</c:v>
                </c:pt>
                <c:pt idx="333">
                  <c:v>3.6878911273243613</c:v>
                </c:pt>
                <c:pt idx="334">
                  <c:v>3.6325881612721993</c:v>
                </c:pt>
                <c:pt idx="335">
                  <c:v>3.5775740649855789</c:v>
                </c:pt>
                <c:pt idx="336">
                  <c:v>3.5228451478094467</c:v>
                </c:pt>
                <c:pt idx="337">
                  <c:v>3.4670667984771493</c:v>
                </c:pt>
                <c:pt idx="338">
                  <c:v>3.4115801557443319</c:v>
                </c:pt>
                <c:pt idx="339">
                  <c:v>3.3563814698061032</c:v>
                </c:pt>
                <c:pt idx="340">
                  <c:v>3.3014670611190922</c:v>
                </c:pt>
                <c:pt idx="341">
                  <c:v>3.2455296994963949</c:v>
                </c:pt>
                <c:pt idx="342">
                  <c:v>3.189882790239384</c:v>
                </c:pt>
                <c:pt idx="343">
                  <c:v>3.1345226012183587</c:v>
                </c:pt>
                <c:pt idx="344">
                  <c:v>3.0794454702089502</c:v>
                </c:pt>
                <c:pt idx="345">
                  <c:v>3.0234559254339199</c:v>
                </c:pt>
                <c:pt idx="346">
                  <c:v>2.9677544036632506</c:v>
                </c:pt>
                <c:pt idx="347">
                  <c:v>2.9123372130446978</c:v>
                </c:pt>
                <c:pt idx="348">
                  <c:v>2.857200730721984</c:v>
                </c:pt>
                <c:pt idx="349">
                  <c:v>2.8010068015173264</c:v>
                </c:pt>
                <c:pt idx="350">
                  <c:v>2.7450999592039715</c:v>
                </c:pt>
                <c:pt idx="351">
                  <c:v>2.689476523656178</c:v>
                </c:pt>
                <c:pt idx="352">
                  <c:v>2.6341328835539586</c:v>
                </c:pt>
                <c:pt idx="353">
                  <c:v>2.5777577046745028</c:v>
                </c:pt>
                <c:pt idx="354">
                  <c:v>2.5216683564322535</c:v>
                </c:pt>
                <c:pt idx="355">
                  <c:v>2.4658611766991654</c:v>
                </c:pt>
                <c:pt idx="356">
                  <c:v>2.410332571816773</c:v>
                </c:pt>
                <c:pt idx="357">
                  <c:v>2.3538773965013968</c:v>
                </c:pt>
                <c:pt idx="358">
                  <c:v>2.2977057012215898</c:v>
                </c:pt>
                <c:pt idx="359">
                  <c:v>2.241813862967363</c:v>
                </c:pt>
                <c:pt idx="360">
                  <c:v>2.186198326347923</c:v>
                </c:pt>
                <c:pt idx="361">
                  <c:v>2.1295206495404058</c:v>
                </c:pt>
                <c:pt idx="362">
                  <c:v>2.0731254603543228</c:v>
                </c:pt>
                <c:pt idx="363">
                  <c:v>2.0170091491531372</c:v>
                </c:pt>
                <c:pt idx="364">
                  <c:v>1.9611681737186906</c:v>
                </c:pt>
                <c:pt idx="365">
                  <c:v>1.9043672499115847</c:v>
                </c:pt>
                <c:pt idx="366">
                  <c:v>1.847846758507725</c:v>
                </c:pt>
                <c:pt idx="367">
                  <c:v>1.7916031238203203</c:v>
                </c:pt>
                <c:pt idx="368">
                  <c:v>1.7356328368804521</c:v>
                </c:pt>
                <c:pt idx="369">
                  <c:v>1.6785735686620227</c:v>
                </c:pt>
                <c:pt idx="370">
                  <c:v>1.6217939342196086</c:v>
                </c:pt>
                <c:pt idx="371">
                  <c:v>1.5652903681904793</c:v>
                </c:pt>
                <c:pt idx="372">
                  <c:v>1.5090593718266647</c:v>
                </c:pt>
                <c:pt idx="373">
                  <c:v>1.4518388479466868</c:v>
                </c:pt>
                <c:pt idx="374">
                  <c:v>1.3948961304588625</c:v>
                </c:pt>
                <c:pt idx="375">
                  <c:v>1.3382276843340304</c:v>
                </c:pt>
                <c:pt idx="376">
                  <c:v>1.2818300405693281</c:v>
                </c:pt>
                <c:pt idx="377">
                  <c:v>1.2243199063396188</c:v>
                </c:pt>
                <c:pt idx="378">
                  <c:v>1.1670869176488643</c:v>
                </c:pt>
                <c:pt idx="379">
                  <c:v>1.1101275480724173</c:v>
                </c:pt>
                <c:pt idx="380">
                  <c:v>1.053438337174786</c:v>
                </c:pt>
                <c:pt idx="381">
                  <c:v>0.99580464216548692</c:v>
                </c:pt>
                <c:pt idx="382">
                  <c:v>0.93844576216386477</c:v>
                </c:pt>
                <c:pt idx="383">
                  <c:v>0.88135821162235672</c:v>
                </c:pt>
                <c:pt idx="384">
                  <c:v>0.82453857015460874</c:v>
                </c:pt>
                <c:pt idx="385">
                  <c:v>0.76658519895165766</c:v>
                </c:pt>
                <c:pt idx="386">
                  <c:v>0.70890611067750453</c:v>
                </c:pt>
                <c:pt idx="387">
                  <c:v>0.65149782713540549</c:v>
                </c:pt>
                <c:pt idx="388">
                  <c:v>0.59435693530685318</c:v>
                </c:pt>
                <c:pt idx="389">
                  <c:v>0.53617643916942137</c:v>
                </c:pt>
                <c:pt idx="390">
                  <c:v>0.47826873910217182</c:v>
                </c:pt>
                <c:pt idx="391">
                  <c:v>0.42063038305393152</c:v>
                </c:pt>
                <c:pt idx="392">
                  <c:v>0.3632579837124843</c:v>
                </c:pt>
                <c:pt idx="393">
                  <c:v>0.30486859994533905</c:v>
                </c:pt>
                <c:pt idx="394">
                  <c:v>0.24675029168870249</c:v>
                </c:pt>
                <c:pt idx="395">
                  <c:v>0.1888996381950348</c:v>
                </c:pt>
                <c:pt idx="396">
                  <c:v>0.13131328289835761</c:v>
                </c:pt>
                <c:pt idx="397">
                  <c:v>7.2599436082556146E-2</c:v>
                </c:pt>
                <c:pt idx="398">
                  <c:v>1.4155947465395481E-2</c:v>
                </c:pt>
                <c:pt idx="399">
                  <c:v>-4.4020590492995448E-2</c:v>
                </c:pt>
                <c:pt idx="400">
                  <c:v>-0.10193352124649629</c:v>
                </c:pt>
                <c:pt idx="401">
                  <c:v>-0.1608845595173487</c:v>
                </c:pt>
                <c:pt idx="402">
                  <c:v>-0.21956682785513981</c:v>
                </c:pt>
                <c:pt idx="403">
                  <c:v>-0.2779837032615276</c:v>
                </c:pt>
                <c:pt idx="404">
                  <c:v>-0.3361384991710652</c:v>
                </c:pt>
                <c:pt idx="405">
                  <c:v>-0.395373382935722</c:v>
                </c:pt>
                <c:pt idx="406">
                  <c:v>-0.45434071779302149</c:v>
                </c:pt>
                <c:pt idx="407">
                  <c:v>-0.51304385613253967</c:v>
                </c:pt>
                <c:pt idx="408">
                  <c:v>-0.57148608713893556</c:v>
                </c:pt>
                <c:pt idx="409">
                  <c:v>-0.63104839725966344</c:v>
                </c:pt>
                <c:pt idx="410">
                  <c:v>-0.69034404882435285</c:v>
                </c:pt>
                <c:pt idx="411">
                  <c:v>-0.74937637472212892</c:v>
                </c:pt>
                <c:pt idx="412">
                  <c:v>-0.80814864486344673</c:v>
                </c:pt>
                <c:pt idx="413">
                  <c:v>-0.86801756873655189</c:v>
                </c:pt>
                <c:pt idx="414">
                  <c:v>-0.92762097019110479</c:v>
                </c:pt>
                <c:pt idx="415">
                  <c:v>-0.9869621568594561</c:v>
                </c:pt>
                <c:pt idx="416">
                  <c:v>-1.046044373759492</c:v>
                </c:pt>
                <c:pt idx="417">
                  <c:v>-1.1062611463275902</c:v>
                </c:pt>
                <c:pt idx="418">
                  <c:v>-1.1662132225409825</c:v>
                </c:pt>
                <c:pt idx="419">
                  <c:v>-1.2259038893137129</c:v>
                </c:pt>
                <c:pt idx="420">
                  <c:v>-1.2853363711905141</c:v>
                </c:pt>
                <c:pt idx="421">
                  <c:v>-1.3458207337055947</c:v>
                </c:pt>
                <c:pt idx="422">
                  <c:v>-1.4060419754683895</c:v>
                </c:pt>
                <c:pt idx="423">
                  <c:v>-1.4660033474951806</c:v>
                </c:pt>
                <c:pt idx="424">
                  <c:v>-1.5257080390583286</c:v>
                </c:pt>
                <c:pt idx="425">
                  <c:v>-1.5866188817127804</c:v>
                </c:pt>
                <c:pt idx="426">
                  <c:v>-1.6472668429161299</c:v>
                </c:pt>
                <c:pt idx="427">
                  <c:v>-1.7076551611243429</c:v>
                </c:pt>
                <c:pt idx="428">
                  <c:v>-1.7677870130847273</c:v>
                </c:pt>
                <c:pt idx="429">
                  <c:v>-1.8290430361680894</c:v>
                </c:pt>
                <c:pt idx="430">
                  <c:v>-1.8900371662461315</c:v>
                </c:pt>
                <c:pt idx="431">
                  <c:v>-1.9507726139530375</c:v>
                </c:pt>
                <c:pt idx="432">
                  <c:v>-2.0112525286372556</c:v>
                </c:pt>
                <c:pt idx="433">
                  <c:v>-2.072834353751547</c:v>
                </c:pt>
                <c:pt idx="434">
                  <c:v>-2.1341554692923914</c:v>
                </c:pt>
                <c:pt idx="435">
                  <c:v>-2.1952190530843279</c:v>
                </c:pt>
                <c:pt idx="436">
                  <c:v>-2.2560282222212455</c:v>
                </c:pt>
                <c:pt idx="437">
                  <c:v>-2.3180288118834871</c:v>
                </c:pt>
                <c:pt idx="438">
                  <c:v>-2.379769118184238</c:v>
                </c:pt>
                <c:pt idx="439">
                  <c:v>-2.4412522984566363</c:v>
                </c:pt>
                <c:pt idx="440">
                  <c:v>-2.5024814495538945</c:v>
                </c:pt>
                <c:pt idx="441">
                  <c:v>-2.5648785510642824</c:v>
                </c:pt>
                <c:pt idx="442">
                  <c:v>-2.6270160120499049</c:v>
                </c:pt>
                <c:pt idx="443">
                  <c:v>-2.6888969638678168</c:v>
                </c:pt>
                <c:pt idx="444">
                  <c:v>-2.7505244777976641</c:v>
                </c:pt>
                <c:pt idx="445">
                  <c:v>-2.8132972730937249</c:v>
                </c:pt>
                <c:pt idx="446">
                  <c:v>-2.8758112614935887</c:v>
                </c:pt>
                <c:pt idx="447">
                  <c:v>-2.9380695434429471</c:v>
                </c:pt>
                <c:pt idx="448">
                  <c:v>-3.0000751598555131</c:v>
                </c:pt>
                <c:pt idx="449">
                  <c:v>-3.0633097697928053</c:v>
                </c:pt>
                <c:pt idx="450">
                  <c:v>-3.1262857129015496</c:v>
                </c:pt>
                <c:pt idx="451">
                  <c:v>-3.1890060696255871</c:v>
                </c:pt>
                <c:pt idx="452">
                  <c:v>-3.2514738611657004</c:v>
                </c:pt>
                <c:pt idx="453">
                  <c:v>-3.3150949568379176</c:v>
                </c:pt>
                <c:pt idx="454">
                  <c:v>-3.3784581519413526</c:v>
                </c:pt>
                <c:pt idx="455">
                  <c:v>-3.4415664942969588</c:v>
                </c:pt>
                <c:pt idx="456">
                  <c:v>-3.5044229731215477</c:v>
                </c:pt>
                <c:pt idx="457">
                  <c:v>-3.5685132967826072</c:v>
                </c:pt>
                <c:pt idx="458">
                  <c:v>-3.6323458187717863</c:v>
                </c:pt>
                <c:pt idx="459">
                  <c:v>-3.6959235647014683</c:v>
                </c:pt>
                <c:pt idx="460">
                  <c:v>-3.7592495019865013</c:v>
                </c:pt>
                <c:pt idx="461">
                  <c:v>-3.823785829990002</c:v>
                </c:pt>
                <c:pt idx="462">
                  <c:v>-3.8880646442704254</c:v>
                </c:pt>
                <c:pt idx="463">
                  <c:v>-3.9520889435762157</c:v>
                </c:pt>
                <c:pt idx="464">
                  <c:v>-4.015861669024539</c:v>
                </c:pt>
                <c:pt idx="465">
                  <c:v>-4.0808715905251853</c:v>
                </c:pt>
                <c:pt idx="466">
                  <c:v>-4.1456240621435221</c:v>
                </c:pt>
                <c:pt idx="467">
                  <c:v>-4.2101220584808585</c:v>
                </c:pt>
                <c:pt idx="468">
                  <c:v>-4.2743684970523317</c:v>
                </c:pt>
                <c:pt idx="469">
                  <c:v>-4.3398289462905897</c:v>
                </c:pt>
                <c:pt idx="470">
                  <c:v>-4.405032182658946</c:v>
                </c:pt>
                <c:pt idx="471">
                  <c:v>-4.469981152618117</c:v>
                </c:pt>
                <c:pt idx="472">
                  <c:v>-4.5346787462458451</c:v>
                </c:pt>
                <c:pt idx="473">
                  <c:v>-4.6006638650439049</c:v>
                </c:pt>
                <c:pt idx="474">
                  <c:v>-4.6663914150356147</c:v>
                </c:pt>
                <c:pt idx="475">
                  <c:v>-4.7318643238739382</c:v>
                </c:pt>
                <c:pt idx="476">
                  <c:v>-4.7970854633601894</c:v>
                </c:pt>
                <c:pt idx="477">
                  <c:v>-4.8635700885862869</c:v>
                </c:pt>
                <c:pt idx="478">
                  <c:v>-4.9297969749714108</c:v>
                </c:pt>
                <c:pt idx="479">
                  <c:v>-4.9957690275824458</c:v>
                </c:pt>
                <c:pt idx="480">
                  <c:v>-5.061489096337243</c:v>
                </c:pt>
                <c:pt idx="481">
                  <c:v>-5.1284493084451332</c:v>
                </c:pt>
                <c:pt idx="482">
                  <c:v>-5.1951517794360154</c:v>
                </c:pt>
                <c:pt idx="483">
                  <c:v>-5.261599388735366</c:v>
                </c:pt>
                <c:pt idx="484">
                  <c:v>-5.3277949614837468</c:v>
                </c:pt>
                <c:pt idx="485">
                  <c:v>-5.3952538409308364</c:v>
                </c:pt>
                <c:pt idx="486">
                  <c:v>-5.462454779929562</c:v>
                </c:pt>
                <c:pt idx="487">
                  <c:v>-5.5294006357123182</c:v>
                </c:pt>
                <c:pt idx="488">
                  <c:v>-5.5960942120987305</c:v>
                </c:pt>
                <c:pt idx="489">
                  <c:v>-5.6641183179114769</c:v>
                </c:pt>
                <c:pt idx="490">
                  <c:v>-5.731883762220864</c:v>
                </c:pt>
                <c:pt idx="491">
                  <c:v>-5.7993933891937264</c:v>
                </c:pt>
                <c:pt idx="492">
                  <c:v>-5.866649990336823</c:v>
                </c:pt>
                <c:pt idx="493">
                  <c:v>-5.9352126701114818</c:v>
                </c:pt>
                <c:pt idx="494">
                  <c:v>-6.0035161616577639</c:v>
                </c:pt>
                <c:pt idx="495">
                  <c:v>-6.071563293809346</c:v>
                </c:pt>
                <c:pt idx="496">
                  <c:v>-6.1393568436682795</c:v>
                </c:pt>
                <c:pt idx="497">
                  <c:v>-6.2084765031791509</c:v>
                </c:pt>
                <c:pt idx="498">
                  <c:v>-6.2773363033546792</c:v>
                </c:pt>
                <c:pt idx="499">
                  <c:v>-6.3459390615572486</c:v>
                </c:pt>
                <c:pt idx="500">
                  <c:v>-6.4142875443830514</c:v>
                </c:pt>
                <c:pt idx="501">
                  <c:v>-6.4839812038553255</c:v>
                </c:pt>
                <c:pt idx="502">
                  <c:v>-6.5534142081260516</c:v>
                </c:pt>
                <c:pt idx="503">
                  <c:v>-6.6225893672128056</c:v>
                </c:pt>
                <c:pt idx="504">
                  <c:v>-6.6915094413772733</c:v>
                </c:pt>
                <c:pt idx="505">
                  <c:v>-6.7617503205774252</c:v>
                </c:pt>
                <c:pt idx="506">
                  <c:v>-6.8317299603223898</c:v>
                </c:pt>
                <c:pt idx="507">
                  <c:v>-6.9014511626855191</c:v>
                </c:pt>
                <c:pt idx="508">
                  <c:v>-6.9709166811624925</c:v>
                </c:pt>
                <c:pt idx="509">
                  <c:v>-7.0417212137057614</c:v>
                </c:pt>
                <c:pt idx="510">
                  <c:v>-7.1122638228639925</c:v>
                </c:pt>
                <c:pt idx="511">
                  <c:v>-7.1825473079614364</c:v>
                </c:pt>
                <c:pt idx="512">
                  <c:v>-7.2525744209659537</c:v>
                </c:pt>
                <c:pt idx="513">
                  <c:v>-7.3239991904236676</c:v>
                </c:pt>
                <c:pt idx="514">
                  <c:v>-7.3951609763597368</c:v>
                </c:pt>
                <c:pt idx="515">
                  <c:v>-7.4660625857813017</c:v>
                </c:pt>
                <c:pt idx="516">
                  <c:v>-7.5367067795026363</c:v>
                </c:pt>
                <c:pt idx="517">
                  <c:v>-7.6087236069196091</c:v>
                </c:pt>
                <c:pt idx="518">
                  <c:v>-7.6804766612990338</c:v>
                </c:pt>
                <c:pt idx="519">
                  <c:v>-7.7519687583627048</c:v>
                </c:pt>
                <c:pt idx="520">
                  <c:v>-7.8232026689673875</c:v>
                </c:pt>
                <c:pt idx="521">
                  <c:v>-7.8958250345491177</c:v>
                </c:pt>
                <c:pt idx="522">
                  <c:v>-7.968182824270488</c:v>
                </c:pt>
                <c:pt idx="523">
                  <c:v>-8.0402788691671798</c:v>
                </c:pt>
                <c:pt idx="524">
                  <c:v>-8.1121159567891858</c:v>
                </c:pt>
                <c:pt idx="525">
                  <c:v>-8.1853566393196413</c:v>
                </c:pt>
                <c:pt idx="526">
                  <c:v>-8.2583319648079474</c:v>
                </c:pt>
                <c:pt idx="527">
                  <c:v>-8.3310447867651476</c:v>
                </c:pt>
                <c:pt idx="528">
                  <c:v>-8.4034979166462804</c:v>
                </c:pt>
                <c:pt idx="529">
                  <c:v>-8.4773691659307921</c:v>
                </c:pt>
                <c:pt idx="530">
                  <c:v>-8.5509743371693432</c:v>
                </c:pt>
                <c:pt idx="531">
                  <c:v>-8.6243163141114199</c:v>
                </c:pt>
                <c:pt idx="532">
                  <c:v>-8.6973979399271766</c:v>
                </c:pt>
                <c:pt idx="533">
                  <c:v>-8.7719500660837006</c:v>
                </c:pt>
                <c:pt idx="534">
                  <c:v>-8.846235221900498</c:v>
                </c:pt>
                <c:pt idx="535">
                  <c:v>-8.920256334257866</c:v>
                </c:pt>
                <c:pt idx="536">
                  <c:v>-8.9940162908947769</c:v>
                </c:pt>
                <c:pt idx="537">
                  <c:v>-9.0691837330518403</c:v>
                </c:pt>
                <c:pt idx="538">
                  <c:v>-9.1440840157622283</c:v>
                </c:pt>
                <c:pt idx="539">
                  <c:v>-9.2187201090078137</c:v>
                </c:pt>
                <c:pt idx="540">
                  <c:v>-9.2930949452597371</c:v>
                </c:pt>
                <c:pt idx="541">
                  <c:v>-9.3689658634215878</c:v>
                </c:pt>
                <c:pt idx="542">
                  <c:v>-9.4445690911802664</c:v>
                </c:pt>
                <c:pt idx="543">
                  <c:v>-9.5199076603474158</c:v>
                </c:pt>
                <c:pt idx="544">
                  <c:v>-9.594984566720548</c:v>
                </c:pt>
                <c:pt idx="545">
                  <c:v>-9.6715328269207284</c:v>
                </c:pt>
                <c:pt idx="546">
                  <c:v>-9.7478133962483842</c:v>
                </c:pt>
                <c:pt idx="547">
                  <c:v>-9.8238293741517353</c:v>
                </c:pt>
                <c:pt idx="548">
                  <c:v>-9.8995838256382171</c:v>
                </c:pt>
                <c:pt idx="549">
                  <c:v>-9.9768223202012365</c:v>
                </c:pt>
                <c:pt idx="550">
                  <c:v>-10.053793440317612</c:v>
                </c:pt>
                <c:pt idx="551">
                  <c:v>-10.1305003640205</c:v>
                </c:pt>
                <c:pt idx="552">
                  <c:v>-10.206946236452142</c:v>
                </c:pt>
                <c:pt idx="553">
                  <c:v>-10.28492458990706</c:v>
                </c:pt>
                <c:pt idx="554">
                  <c:v>-10.36263602356148</c:v>
                </c:pt>
                <c:pt idx="555">
                  <c:v>-10.440083810002402</c:v>
                </c:pt>
                <c:pt idx="556">
                  <c:v>-10.517271190366543</c:v>
                </c:pt>
                <c:pt idx="557">
                  <c:v>-10.674468862959934</c:v>
                </c:pt>
                <c:pt idx="558">
                  <c:v>-10.830616046107524</c:v>
                </c:pt>
                <c:pt idx="559">
                  <c:v>-10.989283259729357</c:v>
                </c:pt>
                <c:pt idx="560">
                  <c:v>-11.146907254320977</c:v>
                </c:pt>
                <c:pt idx="561">
                  <c:v>-11.307219189694093</c:v>
                </c:pt>
                <c:pt idx="562">
                  <c:v>-11.466495894619852</c:v>
                </c:pt>
                <c:pt idx="563">
                  <c:v>-11.62815160681857</c:v>
                </c:pt>
                <c:pt idx="564">
                  <c:v>-11.788787269619462</c:v>
                </c:pt>
                <c:pt idx="565">
                  <c:v>-11.952444725277509</c:v>
                </c:pt>
                <c:pt idx="566">
                  <c:v>-12.115092852257785</c:v>
                </c:pt>
                <c:pt idx="567">
                  <c:v>-12.280726228837953</c:v>
                </c:pt>
                <c:pt idx="568">
                  <c:v>-12.445365786765985</c:v>
                </c:pt>
                <c:pt idx="569">
                  <c:v>-12.612308147212055</c:v>
                </c:pt>
                <c:pt idx="570">
                  <c:v>-12.778284685391647</c:v>
                </c:pt>
                <c:pt idx="571">
                  <c:v>-12.947846973650922</c:v>
                </c:pt>
                <c:pt idx="572">
                  <c:v>-13.116461492442076</c:v>
                </c:pt>
                <c:pt idx="573">
                  <c:v>-13.287355742421569</c:v>
                </c:pt>
                <c:pt idx="574">
                  <c:v>-13.457340102500989</c:v>
                </c:pt>
                <c:pt idx="575">
                  <c:v>-13.630873626394646</c:v>
                </c:pt>
                <c:pt idx="576">
                  <c:v>-13.803527006227032</c:v>
                </c:pt>
                <c:pt idx="577">
                  <c:v>-14.52559993602244</c:v>
                </c:pt>
                <c:pt idx="578">
                  <c:v>-15.235410632889849</c:v>
                </c:pt>
                <c:pt idx="579">
                  <c:v>-16.760591566760215</c:v>
                </c:pt>
                <c:pt idx="580">
                  <c:v>-18.409218726950098</c:v>
                </c:pt>
                <c:pt idx="581">
                  <c:v>-20.211059567518213</c:v>
                </c:pt>
                <c:pt idx="582">
                  <c:v>-22.197042675606006</c:v>
                </c:pt>
                <c:pt idx="583">
                  <c:v>-24.383385164910408</c:v>
                </c:pt>
                <c:pt idx="584">
                  <c:v>-26.769070960728722</c:v>
                </c:pt>
                <c:pt idx="585">
                  <c:v>-29.328421311889826</c:v>
                </c:pt>
                <c:pt idx="586">
                  <c:v>-32.022413705362688</c:v>
                </c:pt>
                <c:pt idx="587">
                  <c:v>-34.808570484955659</c:v>
                </c:pt>
                <c:pt idx="588">
                  <c:v>-37.644088171060716</c:v>
                </c:pt>
                <c:pt idx="589">
                  <c:v>-40.499182365403314</c:v>
                </c:pt>
                <c:pt idx="590">
                  <c:v>-43.349564999826164</c:v>
                </c:pt>
                <c:pt idx="591">
                  <c:v>-46.179974587891422</c:v>
                </c:pt>
                <c:pt idx="592">
                  <c:v>-48.98052974230491</c:v>
                </c:pt>
                <c:pt idx="593">
                  <c:v>-51.746951401495053</c:v>
                </c:pt>
                <c:pt idx="594">
                  <c:v>-54.476489666693141</c:v>
                </c:pt>
                <c:pt idx="595">
                  <c:v>-57.169785941941967</c:v>
                </c:pt>
                <c:pt idx="596">
                  <c:v>-59.827765278197063</c:v>
                </c:pt>
                <c:pt idx="597">
                  <c:v>-62.453323228597746</c:v>
                </c:pt>
                <c:pt idx="598">
                  <c:v>-65.048616810918062</c:v>
                </c:pt>
                <c:pt idx="599">
                  <c:v>-67.617324068851801</c:v>
                </c:pt>
                <c:pt idx="600">
                  <c:v>-70.162086360547718</c:v>
                </c:pt>
              </c:numCache>
            </c:numRef>
          </c:yVal>
          <c:smooth val="1"/>
          <c:extLst>
            <c:ext xmlns:c16="http://schemas.microsoft.com/office/drawing/2014/chart" uri="{C3380CC4-5D6E-409C-BE32-E72D297353CC}">
              <c16:uniqueId val="{00000002-4BA7-4FA6-AB73-85DC72E7447B}"/>
            </c:ext>
          </c:extLst>
        </c:ser>
        <c:ser>
          <c:idx val="6"/>
          <c:order val="2"/>
          <c:tx>
            <c:v>FZCOMP</c:v>
          </c:tx>
          <c:spPr>
            <a:ln w="28575">
              <a:noFill/>
            </a:ln>
          </c:spPr>
          <c:marker>
            <c:symbol val="circle"/>
            <c:size val="8"/>
            <c:spPr>
              <a:noFill/>
              <a:ln w="19050">
                <a:solidFill>
                  <a:srgbClr val="000000"/>
                </a:solidFill>
                <a:prstDash val="solid"/>
              </a:ln>
            </c:spPr>
          </c:marker>
          <c:dLbls>
            <c:dLbl>
              <c:idx val="0"/>
              <c:layout>
                <c:manualLayout>
                  <c:x val="-1.771840147036232E-2"/>
                  <c:y val="-3.7917270685628536E-2"/>
                </c:manualLayout>
              </c:layout>
              <c:tx>
                <c:rich>
                  <a:bodyPr/>
                  <a:lstStyle/>
                  <a:p>
                    <a:r>
                      <a:rPr lang="en-US"/>
                      <a:t>F</a:t>
                    </a:r>
                    <a:r>
                      <a:rPr lang="en-US" baseline="-25000"/>
                      <a:t>ZCOMP</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Calculations'!$C$635</c:f>
              <c:numCache>
                <c:formatCode>0.00</c:formatCode>
                <c:ptCount val="1"/>
                <c:pt idx="0">
                  <c:v>4284.5782392116616</c:v>
                </c:pt>
              </c:numCache>
            </c:numRef>
          </c:xVal>
          <c:yVal>
            <c:numRef>
              <c:f>'Stability Calculations'!$D$635</c:f>
              <c:numCache>
                <c:formatCode>0.00</c:formatCode>
                <c:ptCount val="1"/>
                <c:pt idx="0">
                  <c:v>22.692407568139565</c:v>
                </c:pt>
              </c:numCache>
            </c:numRef>
          </c:yVal>
          <c:smooth val="1"/>
          <c:extLst>
            <c:ext xmlns:c16="http://schemas.microsoft.com/office/drawing/2014/chart" uri="{C3380CC4-5D6E-409C-BE32-E72D297353CC}">
              <c16:uniqueId val="{00000004-4BA7-4FA6-AB73-85DC72E7447B}"/>
            </c:ext>
          </c:extLst>
        </c:ser>
        <c:ser>
          <c:idx val="8"/>
          <c:order val="3"/>
          <c:tx>
            <c:v>FpEA</c:v>
          </c:tx>
          <c:spPr>
            <a:ln w="28575">
              <a:noFill/>
            </a:ln>
          </c:spPr>
          <c:marker>
            <c:symbol val="x"/>
            <c:size val="8"/>
            <c:spPr>
              <a:noFill/>
              <a:ln w="22225">
                <a:solidFill>
                  <a:srgbClr val="000000"/>
                </a:solidFill>
                <a:prstDash val="solid"/>
              </a:ln>
            </c:spPr>
          </c:marker>
          <c:dLbls>
            <c:dLbl>
              <c:idx val="0"/>
              <c:layout>
                <c:manualLayout>
                  <c:x val="-2.9316756823388307E-3"/>
                  <c:y val="-1.5965166604475167E-2"/>
                </c:manualLayout>
              </c:layout>
              <c:tx>
                <c:rich>
                  <a:bodyPr/>
                  <a:lstStyle/>
                  <a:p>
                    <a:r>
                      <a:rPr lang="en-US">
                        <a:solidFill>
                          <a:srgbClr val="0000FF"/>
                        </a:solidFill>
                      </a:rPr>
                      <a:t>F</a:t>
                    </a:r>
                    <a:r>
                      <a:rPr lang="en-US" baseline="-25000">
                        <a:solidFill>
                          <a:srgbClr val="0000FF"/>
                        </a:solidFill>
                      </a:rPr>
                      <a:t>PEA</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Calculations'!$C$5</c:f>
              <c:numCache>
                <c:formatCode>0.0</c:formatCode>
                <c:ptCount val="1"/>
                <c:pt idx="0">
                  <c:v>3.0305329858129837</c:v>
                </c:pt>
              </c:numCache>
            </c:numRef>
          </c:xVal>
          <c:yVal>
            <c:numRef>
              <c:f>'Stability Calculations'!$U$624</c:f>
              <c:numCache>
                <c:formatCode>0.00</c:formatCode>
                <c:ptCount val="1"/>
                <c:pt idx="0">
                  <c:v>98.946511582541575</c:v>
                </c:pt>
              </c:numCache>
            </c:numRef>
          </c:yVal>
          <c:smooth val="1"/>
          <c:extLst>
            <c:ext xmlns:c16="http://schemas.microsoft.com/office/drawing/2014/chart" uri="{C3380CC4-5D6E-409C-BE32-E72D297353CC}">
              <c16:uniqueId val="{00000006-4BA7-4FA6-AB73-85DC72E7447B}"/>
            </c:ext>
          </c:extLst>
        </c:ser>
        <c:ser>
          <c:idx val="9"/>
          <c:order val="4"/>
          <c:tx>
            <c:v>FpLOAD</c:v>
          </c:tx>
          <c:spPr>
            <a:ln w="28575">
              <a:solidFill>
                <a:schemeClr val="tx1"/>
              </a:solidFill>
            </a:ln>
          </c:spPr>
          <c:marker>
            <c:symbol val="x"/>
            <c:size val="8"/>
            <c:spPr>
              <a:noFill/>
              <a:ln w="22225">
                <a:solidFill>
                  <a:schemeClr val="tx1"/>
                </a:solidFill>
              </a:ln>
            </c:spPr>
          </c:marker>
          <c:dLbls>
            <c:dLbl>
              <c:idx val="0"/>
              <c:tx>
                <c:rich>
                  <a:bodyPr/>
                  <a:lstStyle/>
                  <a:p>
                    <a:r>
                      <a:rPr lang="en-US">
                        <a:solidFill>
                          <a:schemeClr val="tx1"/>
                        </a:solidFill>
                      </a:rPr>
                      <a:t>F</a:t>
                    </a:r>
                    <a:r>
                      <a:rPr lang="en-US" baseline="-25000">
                        <a:solidFill>
                          <a:schemeClr val="tx1"/>
                        </a:solidFill>
                      </a:rPr>
                      <a:t>PLOAD</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BA7-4FA6-AB73-85DC72E7447B}"/>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Calculations'!$K$4</c:f>
              <c:numCache>
                <c:formatCode>0</c:formatCode>
                <c:ptCount val="1"/>
                <c:pt idx="0">
                  <c:v>469.49090856909527</c:v>
                </c:pt>
              </c:numCache>
            </c:numRef>
          </c:xVal>
          <c:yVal>
            <c:numRef>
              <c:f>'Stability Calculations'!$D$632</c:f>
              <c:numCache>
                <c:formatCode>0.00</c:formatCode>
                <c:ptCount val="1"/>
                <c:pt idx="0">
                  <c:v>55.196065656439579</c:v>
                </c:pt>
              </c:numCache>
            </c:numRef>
          </c:yVal>
          <c:smooth val="1"/>
          <c:extLst>
            <c:ext xmlns:c16="http://schemas.microsoft.com/office/drawing/2014/chart" uri="{C3380CC4-5D6E-409C-BE32-E72D297353CC}">
              <c16:uniqueId val="{00000008-4BA7-4FA6-AB73-85DC72E7447B}"/>
            </c:ext>
          </c:extLst>
        </c:ser>
        <c:ser>
          <c:idx val="4"/>
          <c:order val="6"/>
          <c:tx>
            <c:v>FZESR</c:v>
          </c:tx>
          <c:spPr>
            <a:ln w="28575">
              <a:noFill/>
            </a:ln>
          </c:spPr>
          <c:marker>
            <c:symbol val="circle"/>
            <c:size val="8"/>
            <c:spPr>
              <a:noFill/>
              <a:ln w="19050">
                <a:solidFill>
                  <a:srgbClr val="000000"/>
                </a:solidFill>
                <a:prstDash val="solid"/>
              </a:ln>
            </c:spPr>
          </c:marker>
          <c:dLbls>
            <c:dLbl>
              <c:idx val="0"/>
              <c:layout>
                <c:manualLayout>
                  <c:x val="-3.9306499421109475E-2"/>
                  <c:y val="3.9912923770191157E-2"/>
                </c:manualLayout>
              </c:layout>
              <c:tx>
                <c:rich>
                  <a:bodyPr/>
                  <a:lstStyle/>
                  <a:p>
                    <a:r>
                      <a:rPr lang="en-US" b="1"/>
                      <a:t>F</a:t>
                    </a:r>
                    <a:r>
                      <a:rPr lang="en-US" b="1" baseline="-25000"/>
                      <a:t>ZESR</a:t>
                    </a:r>
                    <a:endParaRPr lang="en-US" baseline="-25000"/>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A7-4FA6-AB73-85DC72E7447B}"/>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'Stability Calculations'!$A$623</c:f>
              <c:numCache>
                <c:formatCode>0</c:formatCode>
                <c:ptCount val="1"/>
                <c:pt idx="0">
                  <c:v>397887.35818439093</c:v>
                </c:pt>
              </c:numCache>
            </c:numRef>
          </c:xVal>
          <c:yVal>
            <c:numRef>
              <c:f>'Stability Calculations'!$U$623</c:f>
              <c:numCache>
                <c:formatCode>0.00</c:formatCode>
                <c:ptCount val="1"/>
                <c:pt idx="0">
                  <c:v>-43.332301158692914</c:v>
                </c:pt>
              </c:numCache>
            </c:numRef>
          </c:yVal>
          <c:smooth val="1"/>
          <c:extLst>
            <c:ext xmlns:c16="http://schemas.microsoft.com/office/drawing/2014/chart" uri="{C3380CC4-5D6E-409C-BE32-E72D297353CC}">
              <c16:uniqueId val="{0000000A-4BA7-4FA6-AB73-85DC72E7447B}"/>
            </c:ext>
          </c:extLst>
        </c:ser>
        <c:dLbls>
          <c:showLegendKey val="0"/>
          <c:showVal val="0"/>
          <c:showCatName val="0"/>
          <c:showSerName val="0"/>
          <c:showPercent val="0"/>
          <c:showBubbleSize val="0"/>
        </c:dLbls>
        <c:axId val="333063296"/>
        <c:axId val="333065216"/>
      </c:scatterChart>
      <c:scatterChart>
        <c:scatterStyle val="lineMarker"/>
        <c:varyColors val="0"/>
        <c:ser>
          <c:idx val="3"/>
          <c:order val="1"/>
          <c:tx>
            <c:v>Loop Phase</c:v>
          </c:tx>
          <c:spPr>
            <a:ln w="34925">
              <a:solidFill>
                <a:srgbClr val="002060"/>
              </a:solidFill>
              <a:prstDash val="sysDash"/>
            </a:ln>
          </c:spPr>
          <c:marker>
            <c:symbol val="none"/>
          </c:marker>
          <c:xVal>
            <c:numRef>
              <c:f>'Stability Calculations'!$A$13:$A$613</c:f>
              <c:numCache>
                <c:formatCode>General</c:formatCode>
                <c:ptCount val="601"/>
                <c:pt idx="0">
                  <c:v>1</c:v>
                </c:pt>
                <c:pt idx="1">
                  <c:v>1.0965</c:v>
                </c:pt>
                <c:pt idx="2">
                  <c:v>1.2022999999999999</c:v>
                </c:pt>
                <c:pt idx="3">
                  <c:v>1.3183</c:v>
                </c:pt>
                <c:pt idx="4">
                  <c:v>1.4454</c:v>
                </c:pt>
                <c:pt idx="5">
                  <c:v>1.5849</c:v>
                </c:pt>
                <c:pt idx="6">
                  <c:v>1.7378</c:v>
                </c:pt>
                <c:pt idx="7">
                  <c:v>1.9055</c:v>
                </c:pt>
                <c:pt idx="8">
                  <c:v>2.0893000000000002</c:v>
                </c:pt>
                <c:pt idx="9">
                  <c:v>2.2909000000000002</c:v>
                </c:pt>
                <c:pt idx="10">
                  <c:v>2.5118999999999998</c:v>
                </c:pt>
                <c:pt idx="11">
                  <c:v>2.7542</c:v>
                </c:pt>
                <c:pt idx="12">
                  <c:v>3.02</c:v>
                </c:pt>
                <c:pt idx="13">
                  <c:v>3.3113000000000001</c:v>
                </c:pt>
                <c:pt idx="14">
                  <c:v>3.6307999999999998</c:v>
                </c:pt>
                <c:pt idx="15">
                  <c:v>3.9811000000000001</c:v>
                </c:pt>
                <c:pt idx="16">
                  <c:v>4.3651999999999997</c:v>
                </c:pt>
                <c:pt idx="17">
                  <c:v>4.7862999999999998</c:v>
                </c:pt>
                <c:pt idx="18">
                  <c:v>5.2481</c:v>
                </c:pt>
                <c:pt idx="19">
                  <c:v>5.7544000000000004</c:v>
                </c:pt>
                <c:pt idx="20">
                  <c:v>6.3095999999999997</c:v>
                </c:pt>
                <c:pt idx="21">
                  <c:v>6.9183000000000003</c:v>
                </c:pt>
                <c:pt idx="22">
                  <c:v>7.5857999999999999</c:v>
                </c:pt>
                <c:pt idx="23">
                  <c:v>8.3176000000000005</c:v>
                </c:pt>
                <c:pt idx="24">
                  <c:v>9.1201000000000008</c:v>
                </c:pt>
                <c:pt idx="25">
                  <c:v>10</c:v>
                </c:pt>
                <c:pt idx="26">
                  <c:v>10.965</c:v>
                </c:pt>
                <c:pt idx="27">
                  <c:v>12.023</c:v>
                </c:pt>
                <c:pt idx="28">
                  <c:v>13.183</c:v>
                </c:pt>
                <c:pt idx="29">
                  <c:v>14.454000000000001</c:v>
                </c:pt>
                <c:pt idx="30">
                  <c:v>15.849</c:v>
                </c:pt>
                <c:pt idx="31">
                  <c:v>17.378</c:v>
                </c:pt>
                <c:pt idx="32">
                  <c:v>19.055</c:v>
                </c:pt>
                <c:pt idx="33">
                  <c:v>20.893000000000001</c:v>
                </c:pt>
                <c:pt idx="34">
                  <c:v>22.909000000000002</c:v>
                </c:pt>
                <c:pt idx="35">
                  <c:v>25.119</c:v>
                </c:pt>
                <c:pt idx="36">
                  <c:v>27.542000000000002</c:v>
                </c:pt>
                <c:pt idx="37">
                  <c:v>30.2</c:v>
                </c:pt>
                <c:pt idx="38">
                  <c:v>33.113</c:v>
                </c:pt>
                <c:pt idx="39">
                  <c:v>36.308</c:v>
                </c:pt>
                <c:pt idx="40">
                  <c:v>39.811</c:v>
                </c:pt>
                <c:pt idx="41">
                  <c:v>43.652000000000001</c:v>
                </c:pt>
                <c:pt idx="42">
                  <c:v>47.863</c:v>
                </c:pt>
                <c:pt idx="43">
                  <c:v>52.481000000000002</c:v>
                </c:pt>
                <c:pt idx="44">
                  <c:v>57.544000000000004</c:v>
                </c:pt>
                <c:pt idx="45">
                  <c:v>63.095999999999997</c:v>
                </c:pt>
                <c:pt idx="46">
                  <c:v>69.183000000000007</c:v>
                </c:pt>
                <c:pt idx="47">
                  <c:v>75.858000000000004</c:v>
                </c:pt>
                <c:pt idx="48">
                  <c:v>83.176000000000002</c:v>
                </c:pt>
                <c:pt idx="49">
                  <c:v>91.201000000000008</c:v>
                </c:pt>
                <c:pt idx="50">
                  <c:v>100</c:v>
                </c:pt>
                <c:pt idx="51">
                  <c:v>109.65</c:v>
                </c:pt>
                <c:pt idx="52">
                  <c:v>120.23</c:v>
                </c:pt>
                <c:pt idx="53">
                  <c:v>131.83000000000001</c:v>
                </c:pt>
                <c:pt idx="54">
                  <c:v>144.54</c:v>
                </c:pt>
                <c:pt idx="55">
                  <c:v>158.49</c:v>
                </c:pt>
                <c:pt idx="56">
                  <c:v>173.78</c:v>
                </c:pt>
                <c:pt idx="57">
                  <c:v>190.55</c:v>
                </c:pt>
                <c:pt idx="58">
                  <c:v>208.93</c:v>
                </c:pt>
                <c:pt idx="59">
                  <c:v>229.09</c:v>
                </c:pt>
                <c:pt idx="60">
                  <c:v>251.19</c:v>
                </c:pt>
                <c:pt idx="61">
                  <c:v>275.42</c:v>
                </c:pt>
                <c:pt idx="62">
                  <c:v>302</c:v>
                </c:pt>
                <c:pt idx="63">
                  <c:v>331.13</c:v>
                </c:pt>
                <c:pt idx="64">
                  <c:v>363.08</c:v>
                </c:pt>
                <c:pt idx="65">
                  <c:v>398.11</c:v>
                </c:pt>
                <c:pt idx="66">
                  <c:v>436.52</c:v>
                </c:pt>
                <c:pt idx="67">
                  <c:v>478.63</c:v>
                </c:pt>
                <c:pt idx="68">
                  <c:v>524.80999999999995</c:v>
                </c:pt>
                <c:pt idx="69">
                  <c:v>575.44000000000005</c:v>
                </c:pt>
                <c:pt idx="70">
                  <c:v>630.96</c:v>
                </c:pt>
                <c:pt idx="71">
                  <c:v>691.83</c:v>
                </c:pt>
                <c:pt idx="72">
                  <c:v>758.58</c:v>
                </c:pt>
                <c:pt idx="73">
                  <c:v>831.76</c:v>
                </c:pt>
                <c:pt idx="74">
                  <c:v>912.01</c:v>
                </c:pt>
                <c:pt idx="75">
                  <c:v>1000</c:v>
                </c:pt>
                <c:pt idx="76">
                  <c:v>1096.5</c:v>
                </c:pt>
                <c:pt idx="77">
                  <c:v>1202.3</c:v>
                </c:pt>
                <c:pt idx="78">
                  <c:v>1318.3</c:v>
                </c:pt>
                <c:pt idx="79">
                  <c:v>1445.4</c:v>
                </c:pt>
                <c:pt idx="80">
                  <c:v>1584.9</c:v>
                </c:pt>
                <c:pt idx="81">
                  <c:v>1737.8</c:v>
                </c:pt>
                <c:pt idx="82">
                  <c:v>1905.5</c:v>
                </c:pt>
                <c:pt idx="83">
                  <c:v>2089.3000000000002</c:v>
                </c:pt>
                <c:pt idx="84">
                  <c:v>2290.9</c:v>
                </c:pt>
                <c:pt idx="85">
                  <c:v>2511.9</c:v>
                </c:pt>
                <c:pt idx="86">
                  <c:v>2754.2</c:v>
                </c:pt>
                <c:pt idx="87">
                  <c:v>3020</c:v>
                </c:pt>
                <c:pt idx="88">
                  <c:v>3311.3</c:v>
                </c:pt>
                <c:pt idx="89">
                  <c:v>3630.8</c:v>
                </c:pt>
                <c:pt idx="90">
                  <c:v>3981.1</c:v>
                </c:pt>
                <c:pt idx="91">
                  <c:v>4365.2</c:v>
                </c:pt>
                <c:pt idx="92">
                  <c:v>4786.3</c:v>
                </c:pt>
                <c:pt idx="93">
                  <c:v>5248.1</c:v>
                </c:pt>
                <c:pt idx="94">
                  <c:v>5370.3</c:v>
                </c:pt>
                <c:pt idx="95">
                  <c:v>5432.85</c:v>
                </c:pt>
                <c:pt idx="96">
                  <c:v>5495.4</c:v>
                </c:pt>
                <c:pt idx="97">
                  <c:v>5559.4</c:v>
                </c:pt>
                <c:pt idx="98">
                  <c:v>5623.4</c:v>
                </c:pt>
                <c:pt idx="99">
                  <c:v>5688.9</c:v>
                </c:pt>
                <c:pt idx="100">
                  <c:v>5754.4</c:v>
                </c:pt>
                <c:pt idx="101">
                  <c:v>5821.4</c:v>
                </c:pt>
                <c:pt idx="102">
                  <c:v>5888.4</c:v>
                </c:pt>
                <c:pt idx="103">
                  <c:v>5957</c:v>
                </c:pt>
                <c:pt idx="104">
                  <c:v>6025.6</c:v>
                </c:pt>
                <c:pt idx="105">
                  <c:v>6095.8</c:v>
                </c:pt>
                <c:pt idx="106">
                  <c:v>6166</c:v>
                </c:pt>
                <c:pt idx="107">
                  <c:v>6237.8</c:v>
                </c:pt>
                <c:pt idx="108">
                  <c:v>6309.6</c:v>
                </c:pt>
                <c:pt idx="109">
                  <c:v>6383.05</c:v>
                </c:pt>
                <c:pt idx="110">
                  <c:v>6456.5</c:v>
                </c:pt>
                <c:pt idx="111">
                  <c:v>6531.7</c:v>
                </c:pt>
                <c:pt idx="112">
                  <c:v>6606.9</c:v>
                </c:pt>
                <c:pt idx="113">
                  <c:v>6683.85</c:v>
                </c:pt>
                <c:pt idx="114">
                  <c:v>6760.8</c:v>
                </c:pt>
                <c:pt idx="115">
                  <c:v>6839.55</c:v>
                </c:pt>
                <c:pt idx="116">
                  <c:v>6918.3</c:v>
                </c:pt>
                <c:pt idx="117">
                  <c:v>6998.9</c:v>
                </c:pt>
                <c:pt idx="118">
                  <c:v>7079.5</c:v>
                </c:pt>
                <c:pt idx="119">
                  <c:v>7161.95</c:v>
                </c:pt>
                <c:pt idx="120">
                  <c:v>7244.4</c:v>
                </c:pt>
                <c:pt idx="121">
                  <c:v>7328.75</c:v>
                </c:pt>
                <c:pt idx="122">
                  <c:v>7413.1</c:v>
                </c:pt>
                <c:pt idx="123">
                  <c:v>7499.45</c:v>
                </c:pt>
                <c:pt idx="124">
                  <c:v>7585.8</c:v>
                </c:pt>
                <c:pt idx="125">
                  <c:v>7674.15</c:v>
                </c:pt>
                <c:pt idx="126">
                  <c:v>7762.5</c:v>
                </c:pt>
                <c:pt idx="127">
                  <c:v>7852.9</c:v>
                </c:pt>
                <c:pt idx="128">
                  <c:v>7943.3</c:v>
                </c:pt>
                <c:pt idx="129">
                  <c:v>8035.8</c:v>
                </c:pt>
                <c:pt idx="130">
                  <c:v>8128.3</c:v>
                </c:pt>
                <c:pt idx="131">
                  <c:v>8222.9500000000007</c:v>
                </c:pt>
                <c:pt idx="132">
                  <c:v>8270.2750000000015</c:v>
                </c:pt>
                <c:pt idx="133">
                  <c:v>8317.6</c:v>
                </c:pt>
                <c:pt idx="134">
                  <c:v>8366.0499999999993</c:v>
                </c:pt>
                <c:pt idx="135">
                  <c:v>8414.5</c:v>
                </c:pt>
                <c:pt idx="136">
                  <c:v>8462.9500000000007</c:v>
                </c:pt>
                <c:pt idx="137">
                  <c:v>8511.4</c:v>
                </c:pt>
                <c:pt idx="138">
                  <c:v>8560.9500000000007</c:v>
                </c:pt>
                <c:pt idx="139">
                  <c:v>8610.5</c:v>
                </c:pt>
                <c:pt idx="140">
                  <c:v>8660.0499999999993</c:v>
                </c:pt>
                <c:pt idx="141">
                  <c:v>8709.6</c:v>
                </c:pt>
                <c:pt idx="142">
                  <c:v>8760.3250000000007</c:v>
                </c:pt>
                <c:pt idx="143">
                  <c:v>8811.0499999999993</c:v>
                </c:pt>
                <c:pt idx="144">
                  <c:v>8861.7749999999996</c:v>
                </c:pt>
                <c:pt idx="145">
                  <c:v>8912.5</c:v>
                </c:pt>
                <c:pt idx="146">
                  <c:v>8964.4</c:v>
                </c:pt>
                <c:pt idx="147">
                  <c:v>9016.2999999999993</c:v>
                </c:pt>
                <c:pt idx="148">
                  <c:v>9068.2000000000007</c:v>
                </c:pt>
                <c:pt idx="149">
                  <c:v>9120.1</c:v>
                </c:pt>
                <c:pt idx="150">
                  <c:v>9173.2000000000007</c:v>
                </c:pt>
                <c:pt idx="151">
                  <c:v>9226.2999999999993</c:v>
                </c:pt>
                <c:pt idx="152">
                  <c:v>9279.4</c:v>
                </c:pt>
                <c:pt idx="153">
                  <c:v>9332.5</c:v>
                </c:pt>
                <c:pt idx="154">
                  <c:v>9386.85</c:v>
                </c:pt>
                <c:pt idx="155">
                  <c:v>9441.2000000000007</c:v>
                </c:pt>
                <c:pt idx="156">
                  <c:v>9495.5499999999993</c:v>
                </c:pt>
                <c:pt idx="157">
                  <c:v>9549.9</c:v>
                </c:pt>
                <c:pt idx="158">
                  <c:v>9605.5249999999996</c:v>
                </c:pt>
                <c:pt idx="159">
                  <c:v>9661.15</c:v>
                </c:pt>
                <c:pt idx="160">
                  <c:v>9716.7749999999996</c:v>
                </c:pt>
                <c:pt idx="161">
                  <c:v>9772.4</c:v>
                </c:pt>
                <c:pt idx="162">
                  <c:v>9829.2999999999993</c:v>
                </c:pt>
                <c:pt idx="163">
                  <c:v>9886.2000000000007</c:v>
                </c:pt>
                <c:pt idx="164">
                  <c:v>9943.1</c:v>
                </c:pt>
                <c:pt idx="165">
                  <c:v>10000</c:v>
                </c:pt>
                <c:pt idx="166">
                  <c:v>10058.25</c:v>
                </c:pt>
                <c:pt idx="167">
                  <c:v>10116.5</c:v>
                </c:pt>
                <c:pt idx="168">
                  <c:v>10174.75</c:v>
                </c:pt>
                <c:pt idx="169">
                  <c:v>10233</c:v>
                </c:pt>
                <c:pt idx="170">
                  <c:v>10292.5</c:v>
                </c:pt>
                <c:pt idx="171">
                  <c:v>10352</c:v>
                </c:pt>
                <c:pt idx="172">
                  <c:v>10411.5</c:v>
                </c:pt>
                <c:pt idx="173">
                  <c:v>10471</c:v>
                </c:pt>
                <c:pt idx="174">
                  <c:v>10532</c:v>
                </c:pt>
                <c:pt idx="175">
                  <c:v>10593</c:v>
                </c:pt>
                <c:pt idx="176">
                  <c:v>10654</c:v>
                </c:pt>
                <c:pt idx="177">
                  <c:v>10715</c:v>
                </c:pt>
                <c:pt idx="178">
                  <c:v>10777.5</c:v>
                </c:pt>
                <c:pt idx="179">
                  <c:v>10840</c:v>
                </c:pt>
                <c:pt idx="180">
                  <c:v>10902.5</c:v>
                </c:pt>
                <c:pt idx="181">
                  <c:v>10965</c:v>
                </c:pt>
                <c:pt idx="182">
                  <c:v>11028.75</c:v>
                </c:pt>
                <c:pt idx="183">
                  <c:v>11092.5</c:v>
                </c:pt>
                <c:pt idx="184">
                  <c:v>11156.25</c:v>
                </c:pt>
                <c:pt idx="185">
                  <c:v>11220</c:v>
                </c:pt>
                <c:pt idx="186">
                  <c:v>11285.5</c:v>
                </c:pt>
                <c:pt idx="187">
                  <c:v>11351</c:v>
                </c:pt>
                <c:pt idx="188">
                  <c:v>11416.5</c:v>
                </c:pt>
                <c:pt idx="189">
                  <c:v>11482</c:v>
                </c:pt>
                <c:pt idx="190">
                  <c:v>11548.75</c:v>
                </c:pt>
                <c:pt idx="191">
                  <c:v>11615.5</c:v>
                </c:pt>
                <c:pt idx="192">
                  <c:v>11682.25</c:v>
                </c:pt>
                <c:pt idx="193">
                  <c:v>11749</c:v>
                </c:pt>
                <c:pt idx="194">
                  <c:v>11817.5</c:v>
                </c:pt>
                <c:pt idx="195">
                  <c:v>11886</c:v>
                </c:pt>
                <c:pt idx="196">
                  <c:v>11954.5</c:v>
                </c:pt>
                <c:pt idx="197">
                  <c:v>12023</c:v>
                </c:pt>
                <c:pt idx="198">
                  <c:v>12093</c:v>
                </c:pt>
                <c:pt idx="199">
                  <c:v>12163</c:v>
                </c:pt>
                <c:pt idx="200">
                  <c:v>12233</c:v>
                </c:pt>
                <c:pt idx="201">
                  <c:v>12303</c:v>
                </c:pt>
                <c:pt idx="202">
                  <c:v>12374.5</c:v>
                </c:pt>
                <c:pt idx="203">
                  <c:v>12446</c:v>
                </c:pt>
                <c:pt idx="204">
                  <c:v>12517.5</c:v>
                </c:pt>
                <c:pt idx="205">
                  <c:v>12589</c:v>
                </c:pt>
                <c:pt idx="206">
                  <c:v>12662.25</c:v>
                </c:pt>
                <c:pt idx="207">
                  <c:v>12735.5</c:v>
                </c:pt>
                <c:pt idx="208">
                  <c:v>12808.75</c:v>
                </c:pt>
                <c:pt idx="209">
                  <c:v>12882</c:v>
                </c:pt>
                <c:pt idx="210">
                  <c:v>12957.25</c:v>
                </c:pt>
                <c:pt idx="211">
                  <c:v>13032.5</c:v>
                </c:pt>
                <c:pt idx="212">
                  <c:v>13107.75</c:v>
                </c:pt>
                <c:pt idx="213">
                  <c:v>13183</c:v>
                </c:pt>
                <c:pt idx="214">
                  <c:v>13259.75</c:v>
                </c:pt>
                <c:pt idx="215">
                  <c:v>13336.5</c:v>
                </c:pt>
                <c:pt idx="216">
                  <c:v>13413.25</c:v>
                </c:pt>
                <c:pt idx="217">
                  <c:v>13490</c:v>
                </c:pt>
                <c:pt idx="218">
                  <c:v>13568.5</c:v>
                </c:pt>
                <c:pt idx="219">
                  <c:v>13647</c:v>
                </c:pt>
                <c:pt idx="220">
                  <c:v>13725.5</c:v>
                </c:pt>
                <c:pt idx="221">
                  <c:v>13804</c:v>
                </c:pt>
                <c:pt idx="222">
                  <c:v>13884.25</c:v>
                </c:pt>
                <c:pt idx="223">
                  <c:v>13964.5</c:v>
                </c:pt>
                <c:pt idx="224">
                  <c:v>14044.75</c:v>
                </c:pt>
                <c:pt idx="225">
                  <c:v>14125</c:v>
                </c:pt>
                <c:pt idx="226">
                  <c:v>14207.25</c:v>
                </c:pt>
                <c:pt idx="227">
                  <c:v>14289.5</c:v>
                </c:pt>
                <c:pt idx="228">
                  <c:v>14371.75</c:v>
                </c:pt>
                <c:pt idx="229">
                  <c:v>14454</c:v>
                </c:pt>
                <c:pt idx="230">
                  <c:v>14622.5</c:v>
                </c:pt>
                <c:pt idx="231">
                  <c:v>14706.75</c:v>
                </c:pt>
                <c:pt idx="232">
                  <c:v>14791</c:v>
                </c:pt>
                <c:pt idx="233">
                  <c:v>14877.25</c:v>
                </c:pt>
                <c:pt idx="234">
                  <c:v>14963.5</c:v>
                </c:pt>
                <c:pt idx="235">
                  <c:v>15049.75</c:v>
                </c:pt>
                <c:pt idx="236">
                  <c:v>15136</c:v>
                </c:pt>
                <c:pt idx="237">
                  <c:v>15224</c:v>
                </c:pt>
                <c:pt idx="238">
                  <c:v>15312</c:v>
                </c:pt>
                <c:pt idx="239">
                  <c:v>15400</c:v>
                </c:pt>
                <c:pt idx="240">
                  <c:v>15488</c:v>
                </c:pt>
                <c:pt idx="241">
                  <c:v>15578.25</c:v>
                </c:pt>
                <c:pt idx="242">
                  <c:v>15668.5</c:v>
                </c:pt>
                <c:pt idx="243">
                  <c:v>15758.75</c:v>
                </c:pt>
                <c:pt idx="244">
                  <c:v>15849</c:v>
                </c:pt>
                <c:pt idx="245">
                  <c:v>15941.25</c:v>
                </c:pt>
                <c:pt idx="246">
                  <c:v>16033.5</c:v>
                </c:pt>
                <c:pt idx="247">
                  <c:v>16125.75</c:v>
                </c:pt>
                <c:pt idx="248">
                  <c:v>16218</c:v>
                </c:pt>
                <c:pt idx="249">
                  <c:v>16312.5</c:v>
                </c:pt>
                <c:pt idx="250">
                  <c:v>16407</c:v>
                </c:pt>
                <c:pt idx="251">
                  <c:v>16501.5</c:v>
                </c:pt>
                <c:pt idx="252">
                  <c:v>16596</c:v>
                </c:pt>
                <c:pt idx="253">
                  <c:v>16692.5</c:v>
                </c:pt>
                <c:pt idx="254">
                  <c:v>16789</c:v>
                </c:pt>
                <c:pt idx="255">
                  <c:v>16885.5</c:v>
                </c:pt>
                <c:pt idx="256">
                  <c:v>16982</c:v>
                </c:pt>
                <c:pt idx="257">
                  <c:v>17081</c:v>
                </c:pt>
                <c:pt idx="258">
                  <c:v>17180</c:v>
                </c:pt>
                <c:pt idx="259">
                  <c:v>17279</c:v>
                </c:pt>
                <c:pt idx="260">
                  <c:v>17378</c:v>
                </c:pt>
                <c:pt idx="261">
                  <c:v>17479.25</c:v>
                </c:pt>
                <c:pt idx="262">
                  <c:v>17580.5</c:v>
                </c:pt>
                <c:pt idx="263">
                  <c:v>17681.75</c:v>
                </c:pt>
                <c:pt idx="264">
                  <c:v>17783</c:v>
                </c:pt>
                <c:pt idx="265">
                  <c:v>17886.5</c:v>
                </c:pt>
                <c:pt idx="266">
                  <c:v>17990</c:v>
                </c:pt>
                <c:pt idx="267">
                  <c:v>18093.5</c:v>
                </c:pt>
                <c:pt idx="268">
                  <c:v>18197</c:v>
                </c:pt>
                <c:pt idx="269">
                  <c:v>18303</c:v>
                </c:pt>
                <c:pt idx="270">
                  <c:v>18409</c:v>
                </c:pt>
                <c:pt idx="271">
                  <c:v>18515</c:v>
                </c:pt>
                <c:pt idx="272">
                  <c:v>18621</c:v>
                </c:pt>
                <c:pt idx="273">
                  <c:v>18729.5</c:v>
                </c:pt>
                <c:pt idx="274">
                  <c:v>18838</c:v>
                </c:pt>
                <c:pt idx="275">
                  <c:v>18946.5</c:v>
                </c:pt>
                <c:pt idx="276">
                  <c:v>19055</c:v>
                </c:pt>
                <c:pt idx="277">
                  <c:v>19165.75</c:v>
                </c:pt>
                <c:pt idx="278">
                  <c:v>19276.5</c:v>
                </c:pt>
                <c:pt idx="279">
                  <c:v>19387.25</c:v>
                </c:pt>
                <c:pt idx="280">
                  <c:v>19498</c:v>
                </c:pt>
                <c:pt idx="281">
                  <c:v>19611.75</c:v>
                </c:pt>
                <c:pt idx="282">
                  <c:v>19725.5</c:v>
                </c:pt>
                <c:pt idx="283">
                  <c:v>19839.25</c:v>
                </c:pt>
                <c:pt idx="284">
                  <c:v>19953</c:v>
                </c:pt>
                <c:pt idx="285">
                  <c:v>20069</c:v>
                </c:pt>
                <c:pt idx="286">
                  <c:v>20185</c:v>
                </c:pt>
                <c:pt idx="287">
                  <c:v>20301</c:v>
                </c:pt>
                <c:pt idx="288">
                  <c:v>20417</c:v>
                </c:pt>
                <c:pt idx="289">
                  <c:v>20536</c:v>
                </c:pt>
                <c:pt idx="290">
                  <c:v>20655</c:v>
                </c:pt>
                <c:pt idx="291">
                  <c:v>20774</c:v>
                </c:pt>
                <c:pt idx="292">
                  <c:v>20893</c:v>
                </c:pt>
                <c:pt idx="293">
                  <c:v>21014.75</c:v>
                </c:pt>
                <c:pt idx="294">
                  <c:v>21136.5</c:v>
                </c:pt>
                <c:pt idx="295">
                  <c:v>21258.25</c:v>
                </c:pt>
                <c:pt idx="296">
                  <c:v>21380</c:v>
                </c:pt>
                <c:pt idx="297">
                  <c:v>21504.5</c:v>
                </c:pt>
                <c:pt idx="298">
                  <c:v>21629</c:v>
                </c:pt>
                <c:pt idx="299">
                  <c:v>21753.5</c:v>
                </c:pt>
                <c:pt idx="300">
                  <c:v>21878</c:v>
                </c:pt>
                <c:pt idx="301">
                  <c:v>22005.25</c:v>
                </c:pt>
                <c:pt idx="302">
                  <c:v>22132.5</c:v>
                </c:pt>
                <c:pt idx="303">
                  <c:v>22259.75</c:v>
                </c:pt>
                <c:pt idx="304">
                  <c:v>22387</c:v>
                </c:pt>
                <c:pt idx="305">
                  <c:v>22517.5</c:v>
                </c:pt>
                <c:pt idx="306">
                  <c:v>22648</c:v>
                </c:pt>
                <c:pt idx="307">
                  <c:v>22778.5</c:v>
                </c:pt>
                <c:pt idx="308">
                  <c:v>22909</c:v>
                </c:pt>
                <c:pt idx="309">
                  <c:v>23042.25</c:v>
                </c:pt>
                <c:pt idx="310">
                  <c:v>23175.5</c:v>
                </c:pt>
                <c:pt idx="311">
                  <c:v>23308.75</c:v>
                </c:pt>
                <c:pt idx="312">
                  <c:v>23442</c:v>
                </c:pt>
                <c:pt idx="313">
                  <c:v>23578.5</c:v>
                </c:pt>
                <c:pt idx="314">
                  <c:v>23715</c:v>
                </c:pt>
                <c:pt idx="315">
                  <c:v>23851.5</c:v>
                </c:pt>
                <c:pt idx="316">
                  <c:v>23988</c:v>
                </c:pt>
                <c:pt idx="317">
                  <c:v>24127.75</c:v>
                </c:pt>
                <c:pt idx="318">
                  <c:v>24267.5</c:v>
                </c:pt>
                <c:pt idx="319">
                  <c:v>24407.25</c:v>
                </c:pt>
                <c:pt idx="320">
                  <c:v>24547</c:v>
                </c:pt>
                <c:pt idx="321">
                  <c:v>24690</c:v>
                </c:pt>
                <c:pt idx="322">
                  <c:v>24833</c:v>
                </c:pt>
                <c:pt idx="323">
                  <c:v>24976</c:v>
                </c:pt>
                <c:pt idx="324">
                  <c:v>25119</c:v>
                </c:pt>
                <c:pt idx="325">
                  <c:v>25265.25</c:v>
                </c:pt>
                <c:pt idx="326">
                  <c:v>25411.5</c:v>
                </c:pt>
                <c:pt idx="327">
                  <c:v>25557.75</c:v>
                </c:pt>
                <c:pt idx="328">
                  <c:v>25704</c:v>
                </c:pt>
                <c:pt idx="329">
                  <c:v>25853.75</c:v>
                </c:pt>
                <c:pt idx="330">
                  <c:v>26003.5</c:v>
                </c:pt>
                <c:pt idx="331">
                  <c:v>26153.25</c:v>
                </c:pt>
                <c:pt idx="332">
                  <c:v>26303</c:v>
                </c:pt>
                <c:pt idx="333">
                  <c:v>26456</c:v>
                </c:pt>
                <c:pt idx="334">
                  <c:v>26609</c:v>
                </c:pt>
                <c:pt idx="335">
                  <c:v>26762</c:v>
                </c:pt>
                <c:pt idx="336">
                  <c:v>26915</c:v>
                </c:pt>
                <c:pt idx="337">
                  <c:v>27071.75</c:v>
                </c:pt>
                <c:pt idx="338">
                  <c:v>27228.5</c:v>
                </c:pt>
                <c:pt idx="339">
                  <c:v>27385.25</c:v>
                </c:pt>
                <c:pt idx="340">
                  <c:v>27542</c:v>
                </c:pt>
                <c:pt idx="341">
                  <c:v>27702.5</c:v>
                </c:pt>
                <c:pt idx="342">
                  <c:v>27863</c:v>
                </c:pt>
                <c:pt idx="343">
                  <c:v>28023.5</c:v>
                </c:pt>
                <c:pt idx="344">
                  <c:v>28184</c:v>
                </c:pt>
                <c:pt idx="345">
                  <c:v>28348</c:v>
                </c:pt>
                <c:pt idx="346">
                  <c:v>28512</c:v>
                </c:pt>
                <c:pt idx="347">
                  <c:v>28676</c:v>
                </c:pt>
                <c:pt idx="348">
                  <c:v>28840</c:v>
                </c:pt>
                <c:pt idx="349">
                  <c:v>29008</c:v>
                </c:pt>
                <c:pt idx="350">
                  <c:v>29176</c:v>
                </c:pt>
                <c:pt idx="351">
                  <c:v>29344</c:v>
                </c:pt>
                <c:pt idx="352">
                  <c:v>29512</c:v>
                </c:pt>
                <c:pt idx="353">
                  <c:v>29684</c:v>
                </c:pt>
                <c:pt idx="354">
                  <c:v>29856</c:v>
                </c:pt>
                <c:pt idx="355">
                  <c:v>30028</c:v>
                </c:pt>
                <c:pt idx="356">
                  <c:v>30200</c:v>
                </c:pt>
                <c:pt idx="357">
                  <c:v>30375.75</c:v>
                </c:pt>
                <c:pt idx="358">
                  <c:v>30551.5</c:v>
                </c:pt>
                <c:pt idx="359">
                  <c:v>30727.25</c:v>
                </c:pt>
                <c:pt idx="360">
                  <c:v>30903</c:v>
                </c:pt>
                <c:pt idx="361">
                  <c:v>31083</c:v>
                </c:pt>
                <c:pt idx="362">
                  <c:v>31263</c:v>
                </c:pt>
                <c:pt idx="363">
                  <c:v>31443</c:v>
                </c:pt>
                <c:pt idx="364">
                  <c:v>31623</c:v>
                </c:pt>
                <c:pt idx="365">
                  <c:v>31807</c:v>
                </c:pt>
                <c:pt idx="366">
                  <c:v>31991</c:v>
                </c:pt>
                <c:pt idx="367">
                  <c:v>32175</c:v>
                </c:pt>
                <c:pt idx="368">
                  <c:v>32359</c:v>
                </c:pt>
                <c:pt idx="369">
                  <c:v>32547.5</c:v>
                </c:pt>
                <c:pt idx="370">
                  <c:v>32736</c:v>
                </c:pt>
                <c:pt idx="371">
                  <c:v>32924.5</c:v>
                </c:pt>
                <c:pt idx="372">
                  <c:v>33113</c:v>
                </c:pt>
                <c:pt idx="373">
                  <c:v>33305.75</c:v>
                </c:pt>
                <c:pt idx="374">
                  <c:v>33498.5</c:v>
                </c:pt>
                <c:pt idx="375">
                  <c:v>33691.25</c:v>
                </c:pt>
                <c:pt idx="376">
                  <c:v>33884</c:v>
                </c:pt>
                <c:pt idx="377">
                  <c:v>34081.5</c:v>
                </c:pt>
                <c:pt idx="378">
                  <c:v>34279</c:v>
                </c:pt>
                <c:pt idx="379">
                  <c:v>34476.5</c:v>
                </c:pt>
                <c:pt idx="380">
                  <c:v>34674</c:v>
                </c:pt>
                <c:pt idx="381">
                  <c:v>34875.75</c:v>
                </c:pt>
                <c:pt idx="382">
                  <c:v>35077.5</c:v>
                </c:pt>
                <c:pt idx="383">
                  <c:v>35279.25</c:v>
                </c:pt>
                <c:pt idx="384">
                  <c:v>35481</c:v>
                </c:pt>
                <c:pt idx="385">
                  <c:v>35687.75</c:v>
                </c:pt>
                <c:pt idx="386">
                  <c:v>35894.5</c:v>
                </c:pt>
                <c:pt idx="387">
                  <c:v>36101.25</c:v>
                </c:pt>
                <c:pt idx="388">
                  <c:v>36308</c:v>
                </c:pt>
                <c:pt idx="389">
                  <c:v>36519.5</c:v>
                </c:pt>
                <c:pt idx="390">
                  <c:v>36731</c:v>
                </c:pt>
                <c:pt idx="391">
                  <c:v>36942.5</c:v>
                </c:pt>
                <c:pt idx="392">
                  <c:v>37154</c:v>
                </c:pt>
                <c:pt idx="393">
                  <c:v>37370.25</c:v>
                </c:pt>
                <c:pt idx="394">
                  <c:v>37586.5</c:v>
                </c:pt>
                <c:pt idx="395">
                  <c:v>37802.75</c:v>
                </c:pt>
                <c:pt idx="396">
                  <c:v>38019</c:v>
                </c:pt>
                <c:pt idx="397">
                  <c:v>38240.5</c:v>
                </c:pt>
                <c:pt idx="398">
                  <c:v>38462</c:v>
                </c:pt>
                <c:pt idx="399">
                  <c:v>38683.5</c:v>
                </c:pt>
                <c:pt idx="400">
                  <c:v>38905</c:v>
                </c:pt>
                <c:pt idx="401">
                  <c:v>39131.5</c:v>
                </c:pt>
                <c:pt idx="402">
                  <c:v>39358</c:v>
                </c:pt>
                <c:pt idx="403">
                  <c:v>39584.5</c:v>
                </c:pt>
                <c:pt idx="404">
                  <c:v>39811</c:v>
                </c:pt>
                <c:pt idx="405">
                  <c:v>40042.75</c:v>
                </c:pt>
                <c:pt idx="406">
                  <c:v>40274.5</c:v>
                </c:pt>
                <c:pt idx="407">
                  <c:v>40506.25</c:v>
                </c:pt>
                <c:pt idx="408">
                  <c:v>40738</c:v>
                </c:pt>
                <c:pt idx="409">
                  <c:v>40975.25</c:v>
                </c:pt>
                <c:pt idx="410">
                  <c:v>41212.5</c:v>
                </c:pt>
                <c:pt idx="411">
                  <c:v>41449.75</c:v>
                </c:pt>
                <c:pt idx="412">
                  <c:v>41687</c:v>
                </c:pt>
                <c:pt idx="413">
                  <c:v>41929.75</c:v>
                </c:pt>
                <c:pt idx="414">
                  <c:v>42172.5</c:v>
                </c:pt>
                <c:pt idx="415">
                  <c:v>42415.25</c:v>
                </c:pt>
                <c:pt idx="416">
                  <c:v>42658</c:v>
                </c:pt>
                <c:pt idx="417">
                  <c:v>42906.5</c:v>
                </c:pt>
                <c:pt idx="418">
                  <c:v>43155</c:v>
                </c:pt>
                <c:pt idx="419">
                  <c:v>43403.5</c:v>
                </c:pt>
                <c:pt idx="420">
                  <c:v>43652</c:v>
                </c:pt>
                <c:pt idx="421">
                  <c:v>43906</c:v>
                </c:pt>
                <c:pt idx="422">
                  <c:v>44160</c:v>
                </c:pt>
                <c:pt idx="423">
                  <c:v>44414</c:v>
                </c:pt>
                <c:pt idx="424">
                  <c:v>44668</c:v>
                </c:pt>
                <c:pt idx="425">
                  <c:v>44928.25</c:v>
                </c:pt>
                <c:pt idx="426">
                  <c:v>45188.5</c:v>
                </c:pt>
                <c:pt idx="427">
                  <c:v>45448.75</c:v>
                </c:pt>
                <c:pt idx="428">
                  <c:v>45709</c:v>
                </c:pt>
                <c:pt idx="429">
                  <c:v>45975.25</c:v>
                </c:pt>
                <c:pt idx="430">
                  <c:v>46241.5</c:v>
                </c:pt>
                <c:pt idx="431">
                  <c:v>46507.75</c:v>
                </c:pt>
                <c:pt idx="432">
                  <c:v>46774</c:v>
                </c:pt>
                <c:pt idx="433">
                  <c:v>47046.25</c:v>
                </c:pt>
                <c:pt idx="434">
                  <c:v>47318.5</c:v>
                </c:pt>
                <c:pt idx="435">
                  <c:v>47590.75</c:v>
                </c:pt>
                <c:pt idx="436">
                  <c:v>47863</c:v>
                </c:pt>
                <c:pt idx="437">
                  <c:v>48141.75</c:v>
                </c:pt>
                <c:pt idx="438">
                  <c:v>48420.5</c:v>
                </c:pt>
                <c:pt idx="439">
                  <c:v>48699.25</c:v>
                </c:pt>
                <c:pt idx="440">
                  <c:v>48978</c:v>
                </c:pt>
                <c:pt idx="441">
                  <c:v>49263.25</c:v>
                </c:pt>
                <c:pt idx="442">
                  <c:v>49548.5</c:v>
                </c:pt>
                <c:pt idx="443">
                  <c:v>49833.75</c:v>
                </c:pt>
                <c:pt idx="444">
                  <c:v>50119</c:v>
                </c:pt>
                <c:pt idx="445">
                  <c:v>50410.75</c:v>
                </c:pt>
                <c:pt idx="446">
                  <c:v>50702.5</c:v>
                </c:pt>
                <c:pt idx="447">
                  <c:v>50994.25</c:v>
                </c:pt>
                <c:pt idx="448">
                  <c:v>51286</c:v>
                </c:pt>
                <c:pt idx="449">
                  <c:v>51584.75</c:v>
                </c:pt>
                <c:pt idx="450">
                  <c:v>51883.5</c:v>
                </c:pt>
                <c:pt idx="451">
                  <c:v>52182.25</c:v>
                </c:pt>
                <c:pt idx="452">
                  <c:v>52481</c:v>
                </c:pt>
                <c:pt idx="453">
                  <c:v>52786.5</c:v>
                </c:pt>
                <c:pt idx="454">
                  <c:v>53092</c:v>
                </c:pt>
                <c:pt idx="455">
                  <c:v>53397.5</c:v>
                </c:pt>
                <c:pt idx="456">
                  <c:v>53703</c:v>
                </c:pt>
                <c:pt idx="457">
                  <c:v>54015.75</c:v>
                </c:pt>
                <c:pt idx="458">
                  <c:v>54328.5</c:v>
                </c:pt>
                <c:pt idx="459">
                  <c:v>54641.25</c:v>
                </c:pt>
                <c:pt idx="460">
                  <c:v>54954</c:v>
                </c:pt>
                <c:pt idx="461">
                  <c:v>55274</c:v>
                </c:pt>
                <c:pt idx="462">
                  <c:v>55594</c:v>
                </c:pt>
                <c:pt idx="463">
                  <c:v>55914</c:v>
                </c:pt>
                <c:pt idx="464">
                  <c:v>56234</c:v>
                </c:pt>
                <c:pt idx="465">
                  <c:v>56561.5</c:v>
                </c:pt>
                <c:pt idx="466">
                  <c:v>56889</c:v>
                </c:pt>
                <c:pt idx="467">
                  <c:v>57216.5</c:v>
                </c:pt>
                <c:pt idx="468">
                  <c:v>57544</c:v>
                </c:pt>
                <c:pt idx="469">
                  <c:v>57879</c:v>
                </c:pt>
                <c:pt idx="470">
                  <c:v>58214</c:v>
                </c:pt>
                <c:pt idx="471">
                  <c:v>58549</c:v>
                </c:pt>
                <c:pt idx="472">
                  <c:v>58884</c:v>
                </c:pt>
                <c:pt idx="473">
                  <c:v>59227</c:v>
                </c:pt>
                <c:pt idx="474">
                  <c:v>59570</c:v>
                </c:pt>
                <c:pt idx="475">
                  <c:v>59913</c:v>
                </c:pt>
                <c:pt idx="476">
                  <c:v>60256</c:v>
                </c:pt>
                <c:pt idx="477">
                  <c:v>60607</c:v>
                </c:pt>
                <c:pt idx="478">
                  <c:v>60958</c:v>
                </c:pt>
                <c:pt idx="479">
                  <c:v>61309</c:v>
                </c:pt>
                <c:pt idx="480">
                  <c:v>61660</c:v>
                </c:pt>
                <c:pt idx="481">
                  <c:v>62019</c:v>
                </c:pt>
                <c:pt idx="482">
                  <c:v>62378</c:v>
                </c:pt>
                <c:pt idx="483">
                  <c:v>62737</c:v>
                </c:pt>
                <c:pt idx="484">
                  <c:v>63096</c:v>
                </c:pt>
                <c:pt idx="485">
                  <c:v>63463.25</c:v>
                </c:pt>
                <c:pt idx="486">
                  <c:v>63830.5</c:v>
                </c:pt>
                <c:pt idx="487">
                  <c:v>64197.75</c:v>
                </c:pt>
                <c:pt idx="488">
                  <c:v>64565</c:v>
                </c:pt>
                <c:pt idx="489">
                  <c:v>64941</c:v>
                </c:pt>
                <c:pt idx="490">
                  <c:v>65317</c:v>
                </c:pt>
                <c:pt idx="491">
                  <c:v>65693</c:v>
                </c:pt>
                <c:pt idx="492">
                  <c:v>66069</c:v>
                </c:pt>
                <c:pt idx="493">
                  <c:v>66453.75</c:v>
                </c:pt>
                <c:pt idx="494">
                  <c:v>66838.5</c:v>
                </c:pt>
                <c:pt idx="495">
                  <c:v>67223.25</c:v>
                </c:pt>
                <c:pt idx="496">
                  <c:v>67608</c:v>
                </c:pt>
                <c:pt idx="497">
                  <c:v>68001.75</c:v>
                </c:pt>
                <c:pt idx="498">
                  <c:v>68395.5</c:v>
                </c:pt>
                <c:pt idx="499">
                  <c:v>68789.25</c:v>
                </c:pt>
                <c:pt idx="500">
                  <c:v>69183</c:v>
                </c:pt>
                <c:pt idx="501">
                  <c:v>69586</c:v>
                </c:pt>
                <c:pt idx="502">
                  <c:v>69989</c:v>
                </c:pt>
                <c:pt idx="503">
                  <c:v>70392</c:v>
                </c:pt>
                <c:pt idx="504">
                  <c:v>70795</c:v>
                </c:pt>
                <c:pt idx="505">
                  <c:v>71207.25</c:v>
                </c:pt>
                <c:pt idx="506">
                  <c:v>71619.5</c:v>
                </c:pt>
                <c:pt idx="507">
                  <c:v>72031.75</c:v>
                </c:pt>
                <c:pt idx="508">
                  <c:v>72444</c:v>
                </c:pt>
                <c:pt idx="509">
                  <c:v>72865.75</c:v>
                </c:pt>
                <c:pt idx="510">
                  <c:v>73287.5</c:v>
                </c:pt>
                <c:pt idx="511">
                  <c:v>73709.25</c:v>
                </c:pt>
                <c:pt idx="512">
                  <c:v>74131</c:v>
                </c:pt>
                <c:pt idx="513">
                  <c:v>74562.75</c:v>
                </c:pt>
                <c:pt idx="514">
                  <c:v>74994.5</c:v>
                </c:pt>
                <c:pt idx="515">
                  <c:v>75426.25</c:v>
                </c:pt>
                <c:pt idx="516">
                  <c:v>75858</c:v>
                </c:pt>
                <c:pt idx="517">
                  <c:v>76299.75</c:v>
                </c:pt>
                <c:pt idx="518">
                  <c:v>76741.5</c:v>
                </c:pt>
                <c:pt idx="519">
                  <c:v>77183.25</c:v>
                </c:pt>
                <c:pt idx="520">
                  <c:v>77625</c:v>
                </c:pt>
                <c:pt idx="521">
                  <c:v>78077</c:v>
                </c:pt>
                <c:pt idx="522">
                  <c:v>78529</c:v>
                </c:pt>
                <c:pt idx="523">
                  <c:v>78981</c:v>
                </c:pt>
                <c:pt idx="524">
                  <c:v>79433</c:v>
                </c:pt>
                <c:pt idx="525">
                  <c:v>79895.5</c:v>
                </c:pt>
                <c:pt idx="526">
                  <c:v>80358</c:v>
                </c:pt>
                <c:pt idx="527">
                  <c:v>80820.5</c:v>
                </c:pt>
                <c:pt idx="528">
                  <c:v>81283</c:v>
                </c:pt>
                <c:pt idx="529">
                  <c:v>81756.25</c:v>
                </c:pt>
                <c:pt idx="530">
                  <c:v>82229.5</c:v>
                </c:pt>
                <c:pt idx="531">
                  <c:v>82702.75</c:v>
                </c:pt>
                <c:pt idx="532">
                  <c:v>83176</c:v>
                </c:pt>
                <c:pt idx="533">
                  <c:v>83660.5</c:v>
                </c:pt>
                <c:pt idx="534">
                  <c:v>84145</c:v>
                </c:pt>
                <c:pt idx="535">
                  <c:v>84629.5</c:v>
                </c:pt>
                <c:pt idx="536">
                  <c:v>85114</c:v>
                </c:pt>
                <c:pt idx="537">
                  <c:v>85609.5</c:v>
                </c:pt>
                <c:pt idx="538">
                  <c:v>86105</c:v>
                </c:pt>
                <c:pt idx="539">
                  <c:v>86600.5</c:v>
                </c:pt>
                <c:pt idx="540">
                  <c:v>87096</c:v>
                </c:pt>
                <c:pt idx="541">
                  <c:v>87603.25</c:v>
                </c:pt>
                <c:pt idx="542">
                  <c:v>88110.5</c:v>
                </c:pt>
                <c:pt idx="543">
                  <c:v>88617.75</c:v>
                </c:pt>
                <c:pt idx="544">
                  <c:v>89125</c:v>
                </c:pt>
                <c:pt idx="545">
                  <c:v>89644</c:v>
                </c:pt>
                <c:pt idx="546">
                  <c:v>90163</c:v>
                </c:pt>
                <c:pt idx="547">
                  <c:v>90682</c:v>
                </c:pt>
                <c:pt idx="548">
                  <c:v>91201</c:v>
                </c:pt>
                <c:pt idx="549">
                  <c:v>91732</c:v>
                </c:pt>
                <c:pt idx="550">
                  <c:v>92263</c:v>
                </c:pt>
                <c:pt idx="551">
                  <c:v>92794</c:v>
                </c:pt>
                <c:pt idx="552">
                  <c:v>93325</c:v>
                </c:pt>
                <c:pt idx="553">
                  <c:v>93868.5</c:v>
                </c:pt>
                <c:pt idx="554">
                  <c:v>94412</c:v>
                </c:pt>
                <c:pt idx="555">
                  <c:v>94955.5</c:v>
                </c:pt>
                <c:pt idx="556">
                  <c:v>95499</c:v>
                </c:pt>
                <c:pt idx="557">
                  <c:v>96611.5</c:v>
                </c:pt>
                <c:pt idx="558">
                  <c:v>97724</c:v>
                </c:pt>
                <c:pt idx="559">
                  <c:v>98862</c:v>
                </c:pt>
                <c:pt idx="560">
                  <c:v>100000</c:v>
                </c:pt>
                <c:pt idx="561">
                  <c:v>101165</c:v>
                </c:pt>
                <c:pt idx="562">
                  <c:v>102330</c:v>
                </c:pt>
                <c:pt idx="563">
                  <c:v>103520</c:v>
                </c:pt>
                <c:pt idx="564">
                  <c:v>104710</c:v>
                </c:pt>
                <c:pt idx="565">
                  <c:v>105930</c:v>
                </c:pt>
                <c:pt idx="566">
                  <c:v>107150</c:v>
                </c:pt>
                <c:pt idx="567">
                  <c:v>108400</c:v>
                </c:pt>
                <c:pt idx="568">
                  <c:v>109650</c:v>
                </c:pt>
                <c:pt idx="569">
                  <c:v>110925</c:v>
                </c:pt>
                <c:pt idx="570">
                  <c:v>112200</c:v>
                </c:pt>
                <c:pt idx="571">
                  <c:v>113510</c:v>
                </c:pt>
                <c:pt idx="572">
                  <c:v>114820</c:v>
                </c:pt>
                <c:pt idx="573">
                  <c:v>116155</c:v>
                </c:pt>
                <c:pt idx="574">
                  <c:v>117490</c:v>
                </c:pt>
                <c:pt idx="575">
                  <c:v>118860</c:v>
                </c:pt>
                <c:pt idx="576">
                  <c:v>120230</c:v>
                </c:pt>
                <c:pt idx="577">
                  <c:v>126030</c:v>
                </c:pt>
                <c:pt idx="578">
                  <c:v>131830</c:v>
                </c:pt>
                <c:pt idx="579">
                  <c:v>144540</c:v>
                </c:pt>
                <c:pt idx="580">
                  <c:v>158490</c:v>
                </c:pt>
                <c:pt idx="581">
                  <c:v>173780</c:v>
                </c:pt>
                <c:pt idx="582">
                  <c:v>190550</c:v>
                </c:pt>
                <c:pt idx="583">
                  <c:v>208930</c:v>
                </c:pt>
                <c:pt idx="584">
                  <c:v>229090</c:v>
                </c:pt>
                <c:pt idx="585">
                  <c:v>251190</c:v>
                </c:pt>
                <c:pt idx="586">
                  <c:v>275420</c:v>
                </c:pt>
                <c:pt idx="587">
                  <c:v>302000</c:v>
                </c:pt>
                <c:pt idx="588">
                  <c:v>331130</c:v>
                </c:pt>
                <c:pt idx="589">
                  <c:v>363080</c:v>
                </c:pt>
                <c:pt idx="590">
                  <c:v>398110</c:v>
                </c:pt>
                <c:pt idx="591">
                  <c:v>436520</c:v>
                </c:pt>
                <c:pt idx="592">
                  <c:v>478630</c:v>
                </c:pt>
                <c:pt idx="593">
                  <c:v>524810</c:v>
                </c:pt>
                <c:pt idx="594">
                  <c:v>575440</c:v>
                </c:pt>
                <c:pt idx="595">
                  <c:v>630960</c:v>
                </c:pt>
                <c:pt idx="596">
                  <c:v>691830</c:v>
                </c:pt>
                <c:pt idx="597">
                  <c:v>758580</c:v>
                </c:pt>
                <c:pt idx="598">
                  <c:v>831760</c:v>
                </c:pt>
                <c:pt idx="599">
                  <c:v>912010</c:v>
                </c:pt>
                <c:pt idx="600">
                  <c:v>1000000</c:v>
                </c:pt>
              </c:numCache>
            </c:numRef>
          </c:xVal>
          <c:yVal>
            <c:numRef>
              <c:f>'Stability Calculations'!$V$13:$V$613</c:f>
              <c:numCache>
                <c:formatCode>0.00</c:formatCode>
                <c:ptCount val="601"/>
                <c:pt idx="0">
                  <c:v>-18.371193668191005</c:v>
                </c:pt>
                <c:pt idx="1">
                  <c:v>-20.011186337853896</c:v>
                </c:pt>
                <c:pt idx="2">
                  <c:v>-21.77142703952001</c:v>
                </c:pt>
                <c:pt idx="3">
                  <c:v>-23.653811047496148</c:v>
                </c:pt>
                <c:pt idx="4">
                  <c:v>-25.657024475896538</c:v>
                </c:pt>
                <c:pt idx="5">
                  <c:v>-27.782247219520066</c:v>
                </c:pt>
                <c:pt idx="6">
                  <c:v>-30.021731746939963</c:v>
                </c:pt>
                <c:pt idx="7">
                  <c:v>-32.369175326281095</c:v>
                </c:pt>
                <c:pt idx="8">
                  <c:v>-34.812008407589197</c:v>
                </c:pt>
                <c:pt idx="9">
                  <c:v>-37.338154880555827</c:v>
                </c:pt>
                <c:pt idx="10">
                  <c:v>-39.929411973592352</c:v>
                </c:pt>
                <c:pt idx="11">
                  <c:v>-42.566946549041035</c:v>
                </c:pt>
                <c:pt idx="12">
                  <c:v>-45.231237586218448</c:v>
                </c:pt>
                <c:pt idx="13">
                  <c:v>-47.897860167296791</c:v>
                </c:pt>
                <c:pt idx="14">
                  <c:v>-50.547056970733081</c:v>
                </c:pt>
                <c:pt idx="15">
                  <c:v>-53.156826681448791</c:v>
                </c:pt>
                <c:pt idx="16">
                  <c:v>-55.708149116806425</c:v>
                </c:pt>
                <c:pt idx="17">
                  <c:v>-58.183856912643392</c:v>
                </c:pt>
                <c:pt idx="18">
                  <c:v>-60.57072328030543</c:v>
                </c:pt>
                <c:pt idx="19">
                  <c:v>-62.857270089354728</c:v>
                </c:pt>
                <c:pt idx="20">
                  <c:v>-65.036260336947677</c:v>
                </c:pt>
                <c:pt idx="21">
                  <c:v>-67.102543323262921</c:v>
                </c:pt>
                <c:pt idx="22">
                  <c:v>-69.054558793578764</c:v>
                </c:pt>
                <c:pt idx="23">
                  <c:v>-70.892178790505412</c:v>
                </c:pt>
                <c:pt idx="24">
                  <c:v>-72.618186448843119</c:v>
                </c:pt>
                <c:pt idx="25">
                  <c:v>-74.236187373335824</c:v>
                </c:pt>
                <c:pt idx="26">
                  <c:v>-75.751634072826121</c:v>
                </c:pt>
                <c:pt idx="27">
                  <c:v>-77.17002724990968</c:v>
                </c:pt>
                <c:pt idx="28">
                  <c:v>-78.498067291027894</c:v>
                </c:pt>
                <c:pt idx="29">
                  <c:v>-79.742041378002142</c:v>
                </c:pt>
                <c:pt idx="30">
                  <c:v>-80.911256913373705</c:v>
                </c:pt>
                <c:pt idx="31">
                  <c:v>-82.011344989129185</c:v>
                </c:pt>
                <c:pt idx="32">
                  <c:v>-83.050396893686298</c:v>
                </c:pt>
                <c:pt idx="33">
                  <c:v>-84.034944033417787</c:v>
                </c:pt>
                <c:pt idx="34">
                  <c:v>-84.972902576794581</c:v>
                </c:pt>
                <c:pt idx="35">
                  <c:v>-85.870751714433482</c:v>
                </c:pt>
                <c:pt idx="36">
                  <c:v>-86.735522297149743</c:v>
                </c:pt>
                <c:pt idx="37">
                  <c:v>-87.574408905908996</c:v>
                </c:pt>
                <c:pt idx="38">
                  <c:v>-88.393240825702591</c:v>
                </c:pt>
                <c:pt idx="39">
                  <c:v>-89.199215428726063</c:v>
                </c:pt>
                <c:pt idx="40">
                  <c:v>-89.998483362783347</c:v>
                </c:pt>
                <c:pt idx="41">
                  <c:v>-90.797529674498293</c:v>
                </c:pt>
                <c:pt idx="42">
                  <c:v>-91.602640882558333</c:v>
                </c:pt>
                <c:pt idx="43">
                  <c:v>-92.420460330936351</c:v>
                </c:pt>
                <c:pt idx="44">
                  <c:v>-93.257209045016097</c:v>
                </c:pt>
                <c:pt idx="45">
                  <c:v>-94.119543576449729</c:v>
                </c:pt>
                <c:pt idx="46">
                  <c:v>-95.013837026128186</c:v>
                </c:pt>
                <c:pt idx="47">
                  <c:v>-95.946892468941186</c:v>
                </c:pt>
                <c:pt idx="48">
                  <c:v>-96.925137857842316</c:v>
                </c:pt>
                <c:pt idx="49">
                  <c:v>-97.955503618004329</c:v>
                </c:pt>
                <c:pt idx="50">
                  <c:v>-99.044490963790182</c:v>
                </c:pt>
                <c:pt idx="51">
                  <c:v>-100.19891992923796</c:v>
                </c:pt>
                <c:pt idx="52">
                  <c:v>-101.42476896920677</c:v>
                </c:pt>
                <c:pt idx="53">
                  <c:v>-102.72804136077012</c:v>
                </c:pt>
                <c:pt idx="54">
                  <c:v>-104.11325535367058</c:v>
                </c:pt>
                <c:pt idx="55">
                  <c:v>-105.58742406843983</c:v>
                </c:pt>
                <c:pt idx="56">
                  <c:v>-107.15211804747405</c:v>
                </c:pt>
                <c:pt idx="57">
                  <c:v>-108.81051650263956</c:v>
                </c:pt>
                <c:pt idx="58">
                  <c:v>-110.5617518357395</c:v>
                </c:pt>
                <c:pt idx="59">
                  <c:v>-112.40529700742866</c:v>
                </c:pt>
                <c:pt idx="60">
                  <c:v>-114.33566797280102</c:v>
                </c:pt>
                <c:pt idx="61">
                  <c:v>-116.34570379924826</c:v>
                </c:pt>
                <c:pt idx="62">
                  <c:v>-118.4258787756394</c:v>
                </c:pt>
                <c:pt idx="63">
                  <c:v>-120.56019219306398</c:v>
                </c:pt>
                <c:pt idx="64">
                  <c:v>-122.73300326110831</c:v>
                </c:pt>
                <c:pt idx="65">
                  <c:v>-124.92309585056698</c:v>
                </c:pt>
                <c:pt idx="66">
                  <c:v>-127.10767159581151</c:v>
                </c:pt>
                <c:pt idx="67">
                  <c:v>-129.26156903394198</c:v>
                </c:pt>
                <c:pt idx="68">
                  <c:v>-131.35951895161799</c:v>
                </c:pt>
                <c:pt idx="69">
                  <c:v>-133.37495052806977</c:v>
                </c:pt>
                <c:pt idx="70">
                  <c:v>-135.28306058644509</c:v>
                </c:pt>
                <c:pt idx="71">
                  <c:v>-137.05987056199845</c:v>
                </c:pt>
                <c:pt idx="72">
                  <c:v>-138.68442240335253</c:v>
                </c:pt>
                <c:pt idx="73">
                  <c:v>-140.13768837465858</c:v>
                </c:pt>
                <c:pt idx="74">
                  <c:v>-141.40434858884555</c:v>
                </c:pt>
                <c:pt idx="75">
                  <c:v>-142.47149023455538</c:v>
                </c:pt>
                <c:pt idx="76">
                  <c:v>-143.32954474024012</c:v>
                </c:pt>
                <c:pt idx="77">
                  <c:v>-143.97122572997975</c:v>
                </c:pt>
                <c:pt idx="78">
                  <c:v>-144.39224066535212</c:v>
                </c:pt>
                <c:pt idx="79">
                  <c:v>-144.59066087585231</c:v>
                </c:pt>
                <c:pt idx="80">
                  <c:v>-144.56715894629662</c:v>
                </c:pt>
                <c:pt idx="81">
                  <c:v>-144.32435378310819</c:v>
                </c:pt>
                <c:pt idx="82">
                  <c:v>-143.86732306848828</c:v>
                </c:pt>
                <c:pt idx="83">
                  <c:v>-143.20419560535311</c:v>
                </c:pt>
                <c:pt idx="84">
                  <c:v>-142.34498657143791</c:v>
                </c:pt>
                <c:pt idx="85">
                  <c:v>-141.30357122275225</c:v>
                </c:pt>
                <c:pt idx="86">
                  <c:v>-140.09636890755513</c:v>
                </c:pt>
                <c:pt idx="87">
                  <c:v>-138.74226384059264</c:v>
                </c:pt>
                <c:pt idx="88">
                  <c:v>-137.26518510245148</c:v>
                </c:pt>
                <c:pt idx="89">
                  <c:v>-135.68933070825366</c:v>
                </c:pt>
                <c:pt idx="90">
                  <c:v>-134.04282288439182</c:v>
                </c:pt>
                <c:pt idx="91">
                  <c:v>-132.35460200178198</c:v>
                </c:pt>
                <c:pt idx="92">
                  <c:v>-130.65465296971928</c:v>
                </c:pt>
                <c:pt idx="93">
                  <c:v>-128.9720035519525</c:v>
                </c:pt>
                <c:pt idx="94">
                  <c:v>-128.55762406875402</c:v>
                </c:pt>
                <c:pt idx="95">
                  <c:v>-128.35037676469221</c:v>
                </c:pt>
                <c:pt idx="96">
                  <c:v>-128.14637827214986</c:v>
                </c:pt>
                <c:pt idx="97">
                  <c:v>-127.94097919287995</c:v>
                </c:pt>
                <c:pt idx="98">
                  <c:v>-127.7389108063867</c:v>
                </c:pt>
                <c:pt idx="99">
                  <c:v>-127.53551661447734</c:v>
                </c:pt>
                <c:pt idx="100">
                  <c:v>-127.33553207290068</c:v>
                </c:pt>
                <c:pt idx="101">
                  <c:v>-127.13445269541248</c:v>
                </c:pt>
                <c:pt idx="102">
                  <c:v>-126.93685365435837</c:v>
                </c:pt>
                <c:pt idx="103">
                  <c:v>-126.73809497117651</c:v>
                </c:pt>
                <c:pt idx="104">
                  <c:v>-126.54288926347783</c:v>
                </c:pt>
                <c:pt idx="105">
                  <c:v>-126.34675796783141</c:v>
                </c:pt>
                <c:pt idx="106">
                  <c:v>-126.15424369544515</c:v>
                </c:pt>
                <c:pt idx="107">
                  <c:v>-125.96102843102751</c:v>
                </c:pt>
                <c:pt idx="108">
                  <c:v>-125.77148564220494</c:v>
                </c:pt>
                <c:pt idx="109">
                  <c:v>-125.58132851241137</c:v>
                </c:pt>
                <c:pt idx="110">
                  <c:v>-125.39489580851924</c:v>
                </c:pt>
                <c:pt idx="111">
                  <c:v>-125.2078174537977</c:v>
                </c:pt>
                <c:pt idx="112">
                  <c:v>-125.02451683223568</c:v>
                </c:pt>
                <c:pt idx="113">
                  <c:v>-124.84079521929934</c:v>
                </c:pt>
                <c:pt idx="114">
                  <c:v>-124.66089578412138</c:v>
                </c:pt>
                <c:pt idx="115">
                  <c:v>-124.48067605334741</c:v>
                </c:pt>
                <c:pt idx="116">
                  <c:v>-124.30431908918133</c:v>
                </c:pt>
                <c:pt idx="117">
                  <c:v>-124.12774626004807</c:v>
                </c:pt>
                <c:pt idx="118">
                  <c:v>-123.95507283437547</c:v>
                </c:pt>
                <c:pt idx="119">
                  <c:v>-123.78239475522803</c:v>
                </c:pt>
                <c:pt idx="120">
                  <c:v>-123.61364396169897</c:v>
                </c:pt>
                <c:pt idx="121">
                  <c:v>-123.44498953843222</c:v>
                </c:pt>
                <c:pt idx="122">
                  <c:v>-123.28028642634793</c:v>
                </c:pt>
                <c:pt idx="123">
                  <c:v>-123.11568913247689</c:v>
                </c:pt>
                <c:pt idx="124">
                  <c:v>-122.95506783319381</c:v>
                </c:pt>
                <c:pt idx="125">
                  <c:v>-122.79475682348772</c:v>
                </c:pt>
                <c:pt idx="126">
                  <c:v>-122.63843782721707</c:v>
                </c:pt>
                <c:pt idx="127">
                  <c:v>-122.48253653589272</c:v>
                </c:pt>
                <c:pt idx="128">
                  <c:v>-122.3306393312902</c:v>
                </c:pt>
                <c:pt idx="129">
                  <c:v>-122.17926859439353</c:v>
                </c:pt>
                <c:pt idx="130">
                  <c:v>-122.03191007214879</c:v>
                </c:pt>
                <c:pt idx="131">
                  <c:v>-121.88518775345747</c:v>
                </c:pt>
                <c:pt idx="132">
                  <c:v>-121.81333843020275</c:v>
                </c:pt>
                <c:pt idx="133">
                  <c:v>-121.74248184657942</c:v>
                </c:pt>
                <c:pt idx="134">
                  <c:v>-121.67095760361883</c:v>
                </c:pt>
                <c:pt idx="135">
                  <c:v>-121.60045025366503</c:v>
                </c:pt>
                <c:pt idx="136">
                  <c:v>-121.53094806985872</c:v>
                </c:pt>
                <c:pt idx="137">
                  <c:v>-121.46243946846657</c:v>
                </c:pt>
                <c:pt idx="138">
                  <c:v>-121.39339121286578</c:v>
                </c:pt>
                <c:pt idx="139">
                  <c:v>-121.3253581150701</c:v>
                </c:pt>
                <c:pt idx="140">
                  <c:v>-121.25832824149462</c:v>
                </c:pt>
                <c:pt idx="141">
                  <c:v>-121.19228981004719</c:v>
                </c:pt>
                <c:pt idx="142">
                  <c:v>-121.12570022478209</c:v>
                </c:pt>
                <c:pt idx="143">
                  <c:v>-121.06012515272579</c:v>
                </c:pt>
                <c:pt idx="144">
                  <c:v>-120.9955524377517</c:v>
                </c:pt>
                <c:pt idx="145">
                  <c:v>-120.93197008380844</c:v>
                </c:pt>
                <c:pt idx="146">
                  <c:v>-120.86792759278642</c:v>
                </c:pt>
                <c:pt idx="147">
                  <c:v>-120.80489697444916</c:v>
                </c:pt>
                <c:pt idx="148">
                  <c:v>-120.74286588898555</c:v>
                </c:pt>
                <c:pt idx="149">
                  <c:v>-120.68182216451744</c:v>
                </c:pt>
                <c:pt idx="150">
                  <c:v>-120.62037637284909</c:v>
                </c:pt>
                <c:pt idx="151">
                  <c:v>-120.55993888114132</c:v>
                </c:pt>
                <c:pt idx="152">
                  <c:v>-120.50049718657944</c:v>
                </c:pt>
                <c:pt idx="153">
                  <c:v>-120.44203896170212</c:v>
                </c:pt>
                <c:pt idx="154">
                  <c:v>-120.38321038623148</c:v>
                </c:pt>
                <c:pt idx="155">
                  <c:v>-120.32538654796952</c:v>
                </c:pt>
                <c:pt idx="156">
                  <c:v>-120.26855478443771</c:v>
                </c:pt>
                <c:pt idx="157">
                  <c:v>-120.21270261581097</c:v>
                </c:pt>
                <c:pt idx="158">
                  <c:v>-120.15654170840298</c:v>
                </c:pt>
                <c:pt idx="159">
                  <c:v>-120.10138102000053</c:v>
                </c:pt>
                <c:pt idx="160">
                  <c:v>-120.04720774983657</c:v>
                </c:pt>
                <c:pt idx="161">
                  <c:v>-119.99400928663317</c:v>
                </c:pt>
                <c:pt idx="162">
                  <c:v>-119.94058706971975</c:v>
                </c:pt>
                <c:pt idx="163">
                  <c:v>-119.88815876043496</c:v>
                </c:pt>
                <c:pt idx="164">
                  <c:v>-119.83671145788549</c:v>
                </c:pt>
                <c:pt idx="165">
                  <c:v>-119.78623245668066</c:v>
                </c:pt>
                <c:pt idx="166">
                  <c:v>-119.73554577052215</c:v>
                </c:pt>
                <c:pt idx="167">
                  <c:v>-119.68584754642724</c:v>
                </c:pt>
                <c:pt idx="168">
                  <c:v>-119.63712477034522</c:v>
                </c:pt>
                <c:pt idx="169">
                  <c:v>-119.58936462993537</c:v>
                </c:pt>
                <c:pt idx="170">
                  <c:v>-119.54156032242186</c:v>
                </c:pt>
                <c:pt idx="171">
                  <c:v>-119.49473401534866</c:v>
                </c:pt>
                <c:pt idx="172">
                  <c:v>-119.44887268478001</c:v>
                </c:pt>
                <c:pt idx="173">
                  <c:v>-119.40396351247236</c:v>
                </c:pt>
                <c:pt idx="174">
                  <c:v>-119.35889743718931</c:v>
                </c:pt>
                <c:pt idx="175">
                  <c:v>-119.31480549674248</c:v>
                </c:pt>
                <c:pt idx="176">
                  <c:v>-119.27167452976217</c:v>
                </c:pt>
                <c:pt idx="177">
                  <c:v>-119.22949158716115</c:v>
                </c:pt>
                <c:pt idx="178">
                  <c:v>-119.18724131696277</c:v>
                </c:pt>
                <c:pt idx="179">
                  <c:v>-119.14595941424248</c:v>
                </c:pt>
                <c:pt idx="180">
                  <c:v>-119.10563262048947</c:v>
                </c:pt>
                <c:pt idx="181">
                  <c:v>-119.06624789518116</c:v>
                </c:pt>
                <c:pt idx="182">
                  <c:v>-119.0270326935017</c:v>
                </c:pt>
                <c:pt idx="183">
                  <c:v>-118.98877088979752</c:v>
                </c:pt>
                <c:pt idx="184">
                  <c:v>-118.95144932136165</c:v>
                </c:pt>
                <c:pt idx="185">
                  <c:v>-118.91505504485626</c:v>
                </c:pt>
                <c:pt idx="186">
                  <c:v>-118.87861415705355</c:v>
                </c:pt>
                <c:pt idx="187">
                  <c:v>-118.84312516193245</c:v>
                </c:pt>
                <c:pt idx="188">
                  <c:v>-118.80857471781158</c:v>
                </c:pt>
                <c:pt idx="189">
                  <c:v>-118.77494970979164</c:v>
                </c:pt>
                <c:pt idx="190">
                  <c:v>-118.74162175215736</c:v>
                </c:pt>
                <c:pt idx="191">
                  <c:v>-118.70922808970222</c:v>
                </c:pt>
                <c:pt idx="192">
                  <c:v>-118.67775554181738</c:v>
                </c:pt>
                <c:pt idx="193">
                  <c:v>-118.6471911543363</c:v>
                </c:pt>
                <c:pt idx="194">
                  <c:v>-118.61675628866467</c:v>
                </c:pt>
                <c:pt idx="195">
                  <c:v>-118.58725089749994</c:v>
                </c:pt>
                <c:pt idx="196">
                  <c:v>-118.55866169601779</c:v>
                </c:pt>
                <c:pt idx="197">
                  <c:v>-118.53097563146402</c:v>
                </c:pt>
                <c:pt idx="198">
                  <c:v>-118.50360297620765</c:v>
                </c:pt>
                <c:pt idx="199">
                  <c:v>-118.47714660622687</c:v>
                </c:pt>
                <c:pt idx="200">
                  <c:v>-118.45159331386108</c:v>
                </c:pt>
                <c:pt idx="201">
                  <c:v>-118.42693012487692</c:v>
                </c:pt>
                <c:pt idx="202">
                  <c:v>-118.40264410633809</c:v>
                </c:pt>
                <c:pt idx="203">
                  <c:v>-118.3792601091926</c:v>
                </c:pt>
                <c:pt idx="204">
                  <c:v>-118.35676503111993</c:v>
                </c:pt>
                <c:pt idx="205">
                  <c:v>-118.33514600379831</c:v>
                </c:pt>
                <c:pt idx="206">
                  <c:v>-118.3138931028642</c:v>
                </c:pt>
                <c:pt idx="207">
                  <c:v>-118.29353305084116</c:v>
                </c:pt>
                <c:pt idx="208">
                  <c:v>-118.27405274400658</c:v>
                </c:pt>
                <c:pt idx="209">
                  <c:v>-118.25543931565052</c:v>
                </c:pt>
                <c:pt idx="210">
                  <c:v>-118.23720710104178</c:v>
                </c:pt>
                <c:pt idx="211">
                  <c:v>-118.21986296782673</c:v>
                </c:pt>
                <c:pt idx="212">
                  <c:v>-118.2033937151308</c:v>
                </c:pt>
                <c:pt idx="213">
                  <c:v>-118.18778638439171</c:v>
                </c:pt>
                <c:pt idx="214">
                  <c:v>-118.17274261881876</c:v>
                </c:pt>
                <c:pt idx="215">
                  <c:v>-118.15856899835926</c:v>
                </c:pt>
                <c:pt idx="216">
                  <c:v>-118.14525251987236</c:v>
                </c:pt>
                <c:pt idx="217">
                  <c:v>-118.1327804205678</c:v>
                </c:pt>
                <c:pt idx="218">
                  <c:v>-118.12088436275333</c:v>
                </c:pt>
                <c:pt idx="219">
                  <c:v>-118.1098453691249</c:v>
                </c:pt>
                <c:pt idx="220">
                  <c:v>-118.09965053055728</c:v>
                </c:pt>
                <c:pt idx="221">
                  <c:v>-118.09028717874011</c:v>
                </c:pt>
                <c:pt idx="222">
                  <c:v>-118.08156164186539</c:v>
                </c:pt>
                <c:pt idx="223">
                  <c:v>-118.07367905110496</c:v>
                </c:pt>
                <c:pt idx="224">
                  <c:v>-118.06662661831054</c:v>
                </c:pt>
                <c:pt idx="225">
                  <c:v>-118.06039179584533</c:v>
                </c:pt>
                <c:pt idx="226">
                  <c:v>-118.05483713630419</c:v>
                </c:pt>
                <c:pt idx="227">
                  <c:v>-118.05011540970506</c:v>
                </c:pt>
                <c:pt idx="228">
                  <c:v>-118.0462138584756</c:v>
                </c:pt>
                <c:pt idx="229">
                  <c:v>-118.04311996743523</c:v>
                </c:pt>
                <c:pt idx="230">
                  <c:v>-118.03925236549624</c:v>
                </c:pt>
                <c:pt idx="231">
                  <c:v>-118.03853825519577</c:v>
                </c:pt>
                <c:pt idx="232">
                  <c:v>-118.03862058886118</c:v>
                </c:pt>
                <c:pt idx="233">
                  <c:v>-118.03951715475424</c:v>
                </c:pt>
                <c:pt idx="234">
                  <c:v>-118.04122277533131</c:v>
                </c:pt>
                <c:pt idx="235">
                  <c:v>-118.04372484794004</c:v>
                </c:pt>
                <c:pt idx="236">
                  <c:v>-118.0470110135184</c:v>
                </c:pt>
                <c:pt idx="237">
                  <c:v>-118.05115939722904</c:v>
                </c:pt>
                <c:pt idx="238">
                  <c:v>-118.05609877323307</c:v>
                </c:pt>
                <c:pt idx="239">
                  <c:v>-118.06181676296183</c:v>
                </c:pt>
                <c:pt idx="240">
                  <c:v>-118.06830122813832</c:v>
                </c:pt>
                <c:pt idx="241">
                  <c:v>-118.07573514352664</c:v>
                </c:pt>
                <c:pt idx="242">
                  <c:v>-118.08395012137488</c:v>
                </c:pt>
                <c:pt idx="243">
                  <c:v>-118.09293381948768</c:v>
                </c:pt>
                <c:pt idx="244">
                  <c:v>-118.10267413742321</c:v>
                </c:pt>
                <c:pt idx="245">
                  <c:v>-118.11339991276721</c:v>
                </c:pt>
                <c:pt idx="246">
                  <c:v>-118.1248913968393</c:v>
                </c:pt>
                <c:pt idx="247">
                  <c:v>-118.13713641335742</c:v>
                </c:pt>
                <c:pt idx="248">
                  <c:v>-118.15012302581427</c:v>
                </c:pt>
                <c:pt idx="249">
                  <c:v>-118.16418310176455</c:v>
                </c:pt>
                <c:pt idx="250">
                  <c:v>-118.178996779825</c:v>
                </c:pt>
                <c:pt idx="251">
                  <c:v>-118.19455197443567</c:v>
                </c:pt>
                <c:pt idx="252">
                  <c:v>-118.21083683972171</c:v>
                </c:pt>
                <c:pt idx="253">
                  <c:v>-118.22820729003456</c:v>
                </c:pt>
                <c:pt idx="254">
                  <c:v>-118.24631439633797</c:v>
                </c:pt>
                <c:pt idx="255">
                  <c:v>-118.26514628165582</c:v>
                </c:pt>
                <c:pt idx="256">
                  <c:v>-118.28469130541832</c:v>
                </c:pt>
                <c:pt idx="257">
                  <c:v>-118.30547180939939</c:v>
                </c:pt>
                <c:pt idx="258">
                  <c:v>-118.32697879933504</c:v>
                </c:pt>
                <c:pt idx="259">
                  <c:v>-118.34920044489218</c:v>
                </c:pt>
                <c:pt idx="260">
                  <c:v>-118.37212515307937</c:v>
                </c:pt>
                <c:pt idx="261">
                  <c:v>-118.39628625023963</c:v>
                </c:pt>
                <c:pt idx="262">
                  <c:v>-118.42115893830902</c:v>
                </c:pt>
                <c:pt idx="263">
                  <c:v>-118.44673154892595</c:v>
                </c:pt>
                <c:pt idx="264">
                  <c:v>-118.47299264887093</c:v>
                </c:pt>
                <c:pt idx="265">
                  <c:v>-118.50053727323356</c:v>
                </c:pt>
                <c:pt idx="266">
                  <c:v>-118.52877789411666</c:v>
                </c:pt>
                <c:pt idx="267">
                  <c:v>-118.55770302390188</c:v>
                </c:pt>
                <c:pt idx="268">
                  <c:v>-118.58730140732779</c:v>
                </c:pt>
                <c:pt idx="269">
                  <c:v>-118.61830104876199</c:v>
                </c:pt>
                <c:pt idx="270">
                  <c:v>-118.64998368705182</c:v>
                </c:pt>
                <c:pt idx="271">
                  <c:v>-118.6823379522959</c:v>
                </c:pt>
                <c:pt idx="272">
                  <c:v>-118.71535270578556</c:v>
                </c:pt>
                <c:pt idx="273">
                  <c:v>-118.74981875752066</c:v>
                </c:pt>
                <c:pt idx="274">
                  <c:v>-118.78495392153796</c:v>
                </c:pt>
                <c:pt idx="275">
                  <c:v>-118.82074696783619</c:v>
                </c:pt>
                <c:pt idx="276">
                  <c:v>-118.85718689577847</c:v>
                </c:pt>
                <c:pt idx="277">
                  <c:v>-118.89503844285527</c:v>
                </c:pt>
                <c:pt idx="278">
                  <c:v>-118.933541523917</c:v>
                </c:pt>
                <c:pt idx="279">
                  <c:v>-118.97268514248185</c:v>
                </c:pt>
                <c:pt idx="280">
                  <c:v>-119.01245852698628</c:v>
                </c:pt>
                <c:pt idx="281">
                  <c:v>-119.05395379746064</c:v>
                </c:pt>
                <c:pt idx="282">
                  <c:v>-119.09609108499617</c:v>
                </c:pt>
                <c:pt idx="283">
                  <c:v>-119.13885942290079</c:v>
                </c:pt>
                <c:pt idx="284">
                  <c:v>-119.18224807043788</c:v>
                </c:pt>
                <c:pt idx="285">
                  <c:v>-119.2271228856968</c:v>
                </c:pt>
                <c:pt idx="286">
                  <c:v>-119.2726209255927</c:v>
                </c:pt>
                <c:pt idx="287">
                  <c:v>-119.31873148902237</c:v>
                </c:pt>
                <c:pt idx="288">
                  <c:v>-119.36544409536722</c:v>
                </c:pt>
                <c:pt idx="289">
                  <c:v>-119.41397962779503</c:v>
                </c:pt>
                <c:pt idx="290">
                  <c:v>-119.46312708936983</c:v>
                </c:pt>
                <c:pt idx="291">
                  <c:v>-119.51287585213154</c:v>
                </c:pt>
                <c:pt idx="292">
                  <c:v>-119.56321550834305</c:v>
                </c:pt>
                <c:pt idx="293">
                  <c:v>-119.61531938063118</c:v>
                </c:pt>
                <c:pt idx="294">
                  <c:v>-119.66802041353556</c:v>
                </c:pt>
                <c:pt idx="295">
                  <c:v>-119.72130814053124</c:v>
                </c:pt>
                <c:pt idx="296">
                  <c:v>-119.77517231257386</c:v>
                </c:pt>
                <c:pt idx="297">
                  <c:v>-119.83083879503545</c:v>
                </c:pt>
                <c:pt idx="298">
                  <c:v>-119.88708705289838</c:v>
                </c:pt>
                <c:pt idx="299">
                  <c:v>-119.94390679657937</c:v>
                </c:pt>
                <c:pt idx="300">
                  <c:v>-120.00128795074278</c:v>
                </c:pt>
                <c:pt idx="301">
                  <c:v>-120.06050643869861</c:v>
                </c:pt>
                <c:pt idx="302">
                  <c:v>-120.12029079036316</c:v>
                </c:pt>
                <c:pt idx="303">
                  <c:v>-120.1806309064701</c:v>
                </c:pt>
                <c:pt idx="304">
                  <c:v>-120.24151689833658</c:v>
                </c:pt>
                <c:pt idx="305">
                  <c:v>-120.30451475975489</c:v>
                </c:pt>
                <c:pt idx="306">
                  <c:v>-120.36806632673749</c:v>
                </c:pt>
                <c:pt idx="307">
                  <c:v>-120.43216158826981</c:v>
                </c:pt>
                <c:pt idx="308">
                  <c:v>-120.4967907430362</c:v>
                </c:pt>
                <c:pt idx="309">
                  <c:v>-120.56332273156167</c:v>
                </c:pt>
                <c:pt idx="310">
                  <c:v>-120.63039134395885</c:v>
                </c:pt>
                <c:pt idx="311">
                  <c:v>-120.69798678821643</c:v>
                </c:pt>
                <c:pt idx="312">
                  <c:v>-120.76609947745129</c:v>
                </c:pt>
                <c:pt idx="313">
                  <c:v>-120.83639996302378</c:v>
                </c:pt>
                <c:pt idx="314">
                  <c:v>-120.90722350388714</c:v>
                </c:pt>
                <c:pt idx="315">
                  <c:v>-120.97856042961379</c:v>
                </c:pt>
                <c:pt idx="316">
                  <c:v>-121.05040127299661</c:v>
                </c:pt>
                <c:pt idx="317">
                  <c:v>-121.12446499223113</c:v>
                </c:pt>
                <c:pt idx="318">
                  <c:v>-121.1990374577634</c:v>
                </c:pt>
                <c:pt idx="319">
                  <c:v>-121.2741091378293</c:v>
                </c:pt>
                <c:pt idx="320">
                  <c:v>-121.34967070146034</c:v>
                </c:pt>
                <c:pt idx="321">
                  <c:v>-121.42748708703721</c:v>
                </c:pt>
                <c:pt idx="322">
                  <c:v>-121.5057972605632</c:v>
                </c:pt>
                <c:pt idx="323">
                  <c:v>-121.58459184395049</c:v>
                </c:pt>
                <c:pt idx="324">
                  <c:v>-121.66386165702167</c:v>
                </c:pt>
                <c:pt idx="325">
                  <c:v>-121.74541524470753</c:v>
                </c:pt>
                <c:pt idx="326">
                  <c:v>-121.82744709776304</c:v>
                </c:pt>
                <c:pt idx="327">
                  <c:v>-121.90994800482055</c:v>
                </c:pt>
                <c:pt idx="328">
                  <c:v>-121.9929089491331</c:v>
                </c:pt>
                <c:pt idx="329">
                  <c:v>-122.07832274826919</c:v>
                </c:pt>
                <c:pt idx="330">
                  <c:v>-122.16420033715684</c:v>
                </c:pt>
                <c:pt idx="331">
                  <c:v>-122.25053263742636</c:v>
                </c:pt>
                <c:pt idx="332">
                  <c:v>-122.33731076295227</c:v>
                </c:pt>
                <c:pt idx="333">
                  <c:v>-122.42642361570601</c:v>
                </c:pt>
                <c:pt idx="334">
                  <c:v>-122.51598369388536</c:v>
                </c:pt>
                <c:pt idx="335">
                  <c:v>-122.60598210959175</c:v>
                </c:pt>
                <c:pt idx="336">
                  <c:v>-122.69641016314836</c:v>
                </c:pt>
                <c:pt idx="337">
                  <c:v>-122.78949124989245</c:v>
                </c:pt>
                <c:pt idx="338">
                  <c:v>-122.88300539114479</c:v>
                </c:pt>
                <c:pt idx="339">
                  <c:v>-122.97694381438113</c:v>
                </c:pt>
                <c:pt idx="340">
                  <c:v>-123.0712979333656</c:v>
                </c:pt>
                <c:pt idx="341">
                  <c:v>-123.16833128272046</c:v>
                </c:pt>
                <c:pt idx="342">
                  <c:v>-123.265782813575</c:v>
                </c:pt>
                <c:pt idx="343">
                  <c:v>-123.36364388402652</c:v>
                </c:pt>
                <c:pt idx="344">
                  <c:v>-123.46190603608207</c:v>
                </c:pt>
                <c:pt idx="345">
                  <c:v>-123.56271666007105</c:v>
                </c:pt>
                <c:pt idx="346">
                  <c:v>-123.66392876126827</c:v>
                </c:pt>
                <c:pt idx="347">
                  <c:v>-123.765533880153</c:v>
                </c:pt>
                <c:pt idx="348">
                  <c:v>-123.86752373725847</c:v>
                </c:pt>
                <c:pt idx="349">
                  <c:v>-123.97239161000054</c:v>
                </c:pt>
                <c:pt idx="350">
                  <c:v>-124.0776461878955</c:v>
                </c:pt>
                <c:pt idx="351">
                  <c:v>-124.18327912779218</c:v>
                </c:pt>
                <c:pt idx="352">
                  <c:v>-124.2892822645973</c:v>
                </c:pt>
                <c:pt idx="353">
                  <c:v>-124.3981844646807</c:v>
                </c:pt>
                <c:pt idx="354">
                  <c:v>-124.5074579307673</c:v>
                </c:pt>
                <c:pt idx="355">
                  <c:v>-124.61709445026501</c:v>
                </c:pt>
                <c:pt idx="356">
                  <c:v>-124.72708598624382</c:v>
                </c:pt>
                <c:pt idx="357">
                  <c:v>-124.83983412150417</c:v>
                </c:pt>
                <c:pt idx="358">
                  <c:v>-124.95293649816945</c:v>
                </c:pt>
                <c:pt idx="359">
                  <c:v>-125.06638508070293</c:v>
                </c:pt>
                <c:pt idx="360">
                  <c:v>-125.18017200551839</c:v>
                </c:pt>
                <c:pt idx="361">
                  <c:v>-125.2970532075589</c:v>
                </c:pt>
                <c:pt idx="362">
                  <c:v>-125.41427315021677</c:v>
                </c:pt>
                <c:pt idx="363">
                  <c:v>-125.53182391708881</c:v>
                </c:pt>
                <c:pt idx="364">
                  <c:v>-125.64969776167165</c:v>
                </c:pt>
                <c:pt idx="365">
                  <c:v>-125.77051705898296</c:v>
                </c:pt>
                <c:pt idx="366">
                  <c:v>-125.89165810747686</c:v>
                </c:pt>
                <c:pt idx="367">
                  <c:v>-126.0131131543741</c:v>
                </c:pt>
                <c:pt idx="368">
                  <c:v>-126.1348746134987</c:v>
                </c:pt>
                <c:pt idx="369">
                  <c:v>-126.25992391863848</c:v>
                </c:pt>
                <c:pt idx="370">
                  <c:v>-126.38527920571188</c:v>
                </c:pt>
                <c:pt idx="371">
                  <c:v>-126.51093283377702</c:v>
                </c:pt>
                <c:pt idx="372">
                  <c:v>-126.63687732670982</c:v>
                </c:pt>
                <c:pt idx="373">
                  <c:v>-126.76595457183741</c:v>
                </c:pt>
                <c:pt idx="374">
                  <c:v>-126.8953206441353</c:v>
                </c:pt>
                <c:pt idx="375">
                  <c:v>-127.0249680570345</c:v>
                </c:pt>
                <c:pt idx="376">
                  <c:v>-127.15488948582235</c:v>
                </c:pt>
                <c:pt idx="377">
                  <c:v>-127.28828934378005</c:v>
                </c:pt>
                <c:pt idx="378">
                  <c:v>-127.42196182222089</c:v>
                </c:pt>
                <c:pt idx="379">
                  <c:v>-127.5558995427014</c:v>
                </c:pt>
                <c:pt idx="380">
                  <c:v>-127.6900952870555</c:v>
                </c:pt>
                <c:pt idx="381">
                  <c:v>-127.82743785701702</c:v>
                </c:pt>
                <c:pt idx="382">
                  <c:v>-127.96503494219803</c:v>
                </c:pt>
                <c:pt idx="383">
                  <c:v>-128.10287933946157</c:v>
                </c:pt>
                <c:pt idx="384">
                  <c:v>-128.24096400249385</c:v>
                </c:pt>
                <c:pt idx="385">
                  <c:v>-128.38271289935301</c:v>
                </c:pt>
                <c:pt idx="386">
                  <c:v>-128.52469962279412</c:v>
                </c:pt>
                <c:pt idx="387">
                  <c:v>-128.66691707552107</c:v>
                </c:pt>
                <c:pt idx="388">
                  <c:v>-128.80935831569118</c:v>
                </c:pt>
                <c:pt idx="389">
                  <c:v>-128.95529656683306</c:v>
                </c:pt>
                <c:pt idx="390">
                  <c:v>-129.10145479119845</c:v>
                </c:pt>
                <c:pt idx="391">
                  <c:v>-129.247826036238</c:v>
                </c:pt>
                <c:pt idx="392">
                  <c:v>-129.39440350244786</c:v>
                </c:pt>
                <c:pt idx="393">
                  <c:v>-129.54447919111394</c:v>
                </c:pt>
                <c:pt idx="394">
                  <c:v>-129.6947565640917</c:v>
                </c:pt>
                <c:pt idx="395">
                  <c:v>-129.84522882405335</c:v>
                </c:pt>
                <c:pt idx="396">
                  <c:v>-129.99588932409981</c:v>
                </c:pt>
                <c:pt idx="397">
                  <c:v>-130.15039583580199</c:v>
                </c:pt>
                <c:pt idx="398">
                  <c:v>-130.30508618905952</c:v>
                </c:pt>
                <c:pt idx="399">
                  <c:v>-130.45995370660734</c:v>
                </c:pt>
                <c:pt idx="400">
                  <c:v>-130.61499186014413</c:v>
                </c:pt>
                <c:pt idx="401">
                  <c:v>-130.77369955367109</c:v>
                </c:pt>
                <c:pt idx="402">
                  <c:v>-130.93257232721177</c:v>
                </c:pt>
                <c:pt idx="403">
                  <c:v>-131.09160365876923</c:v>
                </c:pt>
                <c:pt idx="404">
                  <c:v>-131.25078717293701</c:v>
                </c:pt>
                <c:pt idx="405">
                  <c:v>-131.4138113858437</c:v>
                </c:pt>
                <c:pt idx="406">
                  <c:v>-131.57698186822907</c:v>
                </c:pt>
                <c:pt idx="407">
                  <c:v>-131.74029224320347</c:v>
                </c:pt>
                <c:pt idx="408">
                  <c:v>-131.90373627854277</c:v>
                </c:pt>
                <c:pt idx="409">
                  <c:v>-132.0711913418437</c:v>
                </c:pt>
                <c:pt idx="410">
                  <c:v>-132.23877371542966</c:v>
                </c:pt>
                <c:pt idx="411">
                  <c:v>-132.40647715994672</c:v>
                </c:pt>
                <c:pt idx="412">
                  <c:v>-132.57429557918019</c:v>
                </c:pt>
                <c:pt idx="413">
                  <c:v>-132.74611720625506</c:v>
                </c:pt>
                <c:pt idx="414">
                  <c:v>-132.91804673156258</c:v>
                </c:pt>
                <c:pt idx="415">
                  <c:v>-133.090078066763</c:v>
                </c:pt>
                <c:pt idx="416">
                  <c:v>-133.26220526490792</c:v>
                </c:pt>
                <c:pt idx="417">
                  <c:v>-133.43850285836064</c:v>
                </c:pt>
                <c:pt idx="418">
                  <c:v>-133.61488873678539</c:v>
                </c:pt>
                <c:pt idx="419">
                  <c:v>-133.79135695777401</c:v>
                </c:pt>
                <c:pt idx="420">
                  <c:v>-133.96790171893014</c:v>
                </c:pt>
                <c:pt idx="421">
                  <c:v>-134.14842711153352</c:v>
                </c:pt>
                <c:pt idx="422">
                  <c:v>-134.32902064393434</c:v>
                </c:pt>
                <c:pt idx="423">
                  <c:v>-134.5096765506525</c:v>
                </c:pt>
                <c:pt idx="424">
                  <c:v>-134.69038920409216</c:v>
                </c:pt>
                <c:pt idx="425">
                  <c:v>-134.87560164205593</c:v>
                </c:pt>
                <c:pt idx="426">
                  <c:v>-135.06086212136657</c:v>
                </c:pt>
                <c:pt idx="427">
                  <c:v>-135.24616501665844</c:v>
                </c:pt>
                <c:pt idx="428">
                  <c:v>-135.43150483974765</c:v>
                </c:pt>
                <c:pt idx="429">
                  <c:v>-135.62115025887698</c:v>
                </c:pt>
                <c:pt idx="430">
                  <c:v>-135.81082313230746</c:v>
                </c:pt>
                <c:pt idx="431">
                  <c:v>-136.00051800707561</c:v>
                </c:pt>
                <c:pt idx="432">
                  <c:v>-136.19022956594321</c:v>
                </c:pt>
                <c:pt idx="433">
                  <c:v>-136.38422816617773</c:v>
                </c:pt>
                <c:pt idx="434">
                  <c:v>-136.57823338633264</c:v>
                </c:pt>
                <c:pt idx="435">
                  <c:v>-136.77223996003735</c:v>
                </c:pt>
                <c:pt idx="436">
                  <c:v>-136.96624275501242</c:v>
                </c:pt>
                <c:pt idx="437">
                  <c:v>-137.16486825134913</c:v>
                </c:pt>
                <c:pt idx="438">
                  <c:v>-137.36347931382051</c:v>
                </c:pt>
                <c:pt idx="439">
                  <c:v>-137.56207084917986</c:v>
                </c:pt>
                <c:pt idx="440">
                  <c:v>-137.76063789742327</c:v>
                </c:pt>
                <c:pt idx="441">
                  <c:v>-137.96380481999682</c:v>
                </c:pt>
                <c:pt idx="442">
                  <c:v>-138.16693600421306</c:v>
                </c:pt>
                <c:pt idx="443">
                  <c:v>-138.37002654709605</c:v>
                </c:pt>
                <c:pt idx="444">
                  <c:v>-138.57307167784182</c:v>
                </c:pt>
                <c:pt idx="445">
                  <c:v>-138.78069179024092</c:v>
                </c:pt>
                <c:pt idx="446">
                  <c:v>-138.98825471152895</c:v>
                </c:pt>
                <c:pt idx="447">
                  <c:v>-139.19575574547699</c:v>
                </c:pt>
                <c:pt idx="448">
                  <c:v>-139.40319032675569</c:v>
                </c:pt>
                <c:pt idx="449">
                  <c:v>-139.61552841795375</c:v>
                </c:pt>
                <c:pt idx="450">
                  <c:v>-139.82778754734937</c:v>
                </c:pt>
                <c:pt idx="451">
                  <c:v>-140.03996321907644</c:v>
                </c:pt>
                <c:pt idx="452">
                  <c:v>-140.25205106756684</c:v>
                </c:pt>
                <c:pt idx="453">
                  <c:v>-140.46883562152703</c:v>
                </c:pt>
                <c:pt idx="454">
                  <c:v>-140.68551950897935</c:v>
                </c:pt>
                <c:pt idx="455">
                  <c:v>-140.90209846399446</c:v>
                </c:pt>
                <c:pt idx="456">
                  <c:v>-141.11856834967287</c:v>
                </c:pt>
                <c:pt idx="457">
                  <c:v>-141.3400582397359</c:v>
                </c:pt>
                <c:pt idx="458">
                  <c:v>-141.56142544903093</c:v>
                </c:pt>
                <c:pt idx="459">
                  <c:v>-141.78266593905667</c:v>
                </c:pt>
                <c:pt idx="460">
                  <c:v>-142.0037757996796</c:v>
                </c:pt>
                <c:pt idx="461">
                  <c:v>-142.22987215473248</c:v>
                </c:pt>
                <c:pt idx="462">
                  <c:v>-142.45582387004706</c:v>
                </c:pt>
                <c:pt idx="463">
                  <c:v>-142.68162715438999</c:v>
                </c:pt>
                <c:pt idx="464">
                  <c:v>-142.90727834396759</c:v>
                </c:pt>
                <c:pt idx="465">
                  <c:v>-143.13805705692761</c:v>
                </c:pt>
                <c:pt idx="466">
                  <c:v>-143.36866909265126</c:v>
                </c:pt>
                <c:pt idx="467">
                  <c:v>-143.59911091828857</c:v>
                </c:pt>
                <c:pt idx="468">
                  <c:v>-143.82937912762054</c:v>
                </c:pt>
                <c:pt idx="469">
                  <c:v>-144.064737607464</c:v>
                </c:pt>
                <c:pt idx="470">
                  <c:v>-144.29990761082439</c:v>
                </c:pt>
                <c:pt idx="471">
                  <c:v>-144.53488588343274</c:v>
                </c:pt>
                <c:pt idx="472">
                  <c:v>-144.76966929654702</c:v>
                </c:pt>
                <c:pt idx="473">
                  <c:v>-145.0098544437526</c:v>
                </c:pt>
                <c:pt idx="474">
                  <c:v>-145.24982906539188</c:v>
                </c:pt>
                <c:pt idx="475">
                  <c:v>-145.48959019234516</c:v>
                </c:pt>
                <c:pt idx="476">
                  <c:v>-145.72913498033594</c:v>
                </c:pt>
                <c:pt idx="477">
                  <c:v>-145.97404001256754</c:v>
                </c:pt>
                <c:pt idx="478">
                  <c:v>-146.21871285725422</c:v>
                </c:pt>
                <c:pt idx="479">
                  <c:v>-146.46315085258846</c:v>
                </c:pt>
                <c:pt idx="480">
                  <c:v>-146.70735146055483</c:v>
                </c:pt>
                <c:pt idx="481">
                  <c:v>-146.95686981063363</c:v>
                </c:pt>
                <c:pt idx="482">
                  <c:v>-147.20613484160972</c:v>
                </c:pt>
                <c:pt idx="483">
                  <c:v>-147.45514421996577</c:v>
                </c:pt>
                <c:pt idx="484">
                  <c:v>-147.70389573454744</c:v>
                </c:pt>
                <c:pt idx="485">
                  <c:v>-147.95809468261194</c:v>
                </c:pt>
                <c:pt idx="486">
                  <c:v>-148.21201947681243</c:v>
                </c:pt>
                <c:pt idx="487">
                  <c:v>-148.4656681276289</c:v>
                </c:pt>
                <c:pt idx="488">
                  <c:v>-148.71903876640903</c:v>
                </c:pt>
                <c:pt idx="489">
                  <c:v>-148.97815629171996</c:v>
                </c:pt>
                <c:pt idx="490">
                  <c:v>-149.23697881020138</c:v>
                </c:pt>
                <c:pt idx="491">
                  <c:v>-149.49550469016239</c:v>
                </c:pt>
                <c:pt idx="492">
                  <c:v>-149.75373241946917</c:v>
                </c:pt>
                <c:pt idx="493">
                  <c:v>-150.01765934345923</c:v>
                </c:pt>
                <c:pt idx="494">
                  <c:v>-150.28127124509086</c:v>
                </c:pt>
                <c:pt idx="495">
                  <c:v>-150.54456687274259</c:v>
                </c:pt>
                <c:pt idx="496">
                  <c:v>-150.80754509251094</c:v>
                </c:pt>
                <c:pt idx="497">
                  <c:v>-151.07634515480234</c:v>
                </c:pt>
                <c:pt idx="498">
                  <c:v>-151.34481074717272</c:v>
                </c:pt>
                <c:pt idx="499">
                  <c:v>-151.61294101678959</c:v>
                </c:pt>
                <c:pt idx="500">
                  <c:v>-151.88073522643367</c:v>
                </c:pt>
                <c:pt idx="501">
                  <c:v>-152.15447182844221</c:v>
                </c:pt>
                <c:pt idx="502">
                  <c:v>-152.42785519008956</c:v>
                </c:pt>
                <c:pt idx="503">
                  <c:v>-152.70088487649403</c:v>
                </c:pt>
                <c:pt idx="504">
                  <c:v>-152.97356056593759</c:v>
                </c:pt>
                <c:pt idx="505">
                  <c:v>-153.25212844229944</c:v>
                </c:pt>
                <c:pt idx="506">
                  <c:v>-153.53032555230789</c:v>
                </c:pt>
                <c:pt idx="507">
                  <c:v>-153.80815189816752</c:v>
                </c:pt>
                <c:pt idx="508">
                  <c:v>-154.08560759210596</c:v>
                </c:pt>
                <c:pt idx="509">
                  <c:v>-154.36907371626043</c:v>
                </c:pt>
                <c:pt idx="510">
                  <c:v>-154.6521524849208</c:v>
                </c:pt>
                <c:pt idx="511">
                  <c:v>-154.93484435441709</c:v>
                </c:pt>
                <c:pt idx="512">
                  <c:v>-155.2171498874778</c:v>
                </c:pt>
                <c:pt idx="513">
                  <c:v>-155.5057496007467</c:v>
                </c:pt>
                <c:pt idx="514">
                  <c:v>-155.7939459603692</c:v>
                </c:pt>
                <c:pt idx="515">
                  <c:v>-156.08173989479005</c:v>
                </c:pt>
                <c:pt idx="516">
                  <c:v>-156.36913243487911</c:v>
                </c:pt>
                <c:pt idx="517">
                  <c:v>-156.6627671638297</c:v>
                </c:pt>
                <c:pt idx="518">
                  <c:v>-156.95598418623575</c:v>
                </c:pt>
                <c:pt idx="519">
                  <c:v>-157.24878491696586</c:v>
                </c:pt>
                <c:pt idx="520">
                  <c:v>-157.54117086839719</c:v>
                </c:pt>
                <c:pt idx="521">
                  <c:v>-157.83991344940884</c:v>
                </c:pt>
                <c:pt idx="522">
                  <c:v>-158.13822528045014</c:v>
                </c:pt>
                <c:pt idx="523">
                  <c:v>-158.43610827587977</c:v>
                </c:pt>
                <c:pt idx="524">
                  <c:v>-158.73356444184645</c:v>
                </c:pt>
                <c:pt idx="525">
                  <c:v>-159.03749090849081</c:v>
                </c:pt>
                <c:pt idx="526">
                  <c:v>-159.34097501328498</c:v>
                </c:pt>
                <c:pt idx="527">
                  <c:v>-159.64401918056606</c:v>
                </c:pt>
                <c:pt idx="528">
                  <c:v>-159.94662591981719</c:v>
                </c:pt>
                <c:pt idx="529">
                  <c:v>-160.25581612727041</c:v>
                </c:pt>
                <c:pt idx="530">
                  <c:v>-160.56455390909065</c:v>
                </c:pt>
                <c:pt idx="531">
                  <c:v>-160.87284220673425</c:v>
                </c:pt>
                <c:pt idx="532">
                  <c:v>-161.18068403910252</c:v>
                </c:pt>
                <c:pt idx="533">
                  <c:v>-161.4953845412789</c:v>
                </c:pt>
                <c:pt idx="534">
                  <c:v>-161.80962373516456</c:v>
                </c:pt>
                <c:pt idx="535">
                  <c:v>-162.12340508768594</c:v>
                </c:pt>
                <c:pt idx="536">
                  <c:v>-162.43673213445197</c:v>
                </c:pt>
                <c:pt idx="537">
                  <c:v>-162.75670675946969</c:v>
                </c:pt>
                <c:pt idx="538">
                  <c:v>-163.07621389858528</c:v>
                </c:pt>
                <c:pt idx="539">
                  <c:v>-163.3952575312484</c:v>
                </c:pt>
                <c:pt idx="540">
                  <c:v>-163.71384169519447</c:v>
                </c:pt>
                <c:pt idx="541">
                  <c:v>-164.03950891071582</c:v>
                </c:pt>
                <c:pt idx="542">
                  <c:v>-164.36470334114821</c:v>
                </c:pt>
                <c:pt idx="543">
                  <c:v>-164.68942948195482</c:v>
                </c:pt>
                <c:pt idx="544">
                  <c:v>-165.01369187521129</c:v>
                </c:pt>
                <c:pt idx="545">
                  <c:v>-165.34499031802585</c:v>
                </c:pt>
                <c:pt idx="546">
                  <c:v>-165.67581303140136</c:v>
                </c:pt>
                <c:pt idx="547">
                  <c:v>-166.00616500490545</c:v>
                </c:pt>
                <c:pt idx="548">
                  <c:v>-166.33605126124078</c:v>
                </c:pt>
                <c:pt idx="549">
                  <c:v>-166.67308822029824</c:v>
                </c:pt>
                <c:pt idx="550">
                  <c:v>-167.00964840178847</c:v>
                </c:pt>
                <c:pt idx="551">
                  <c:v>-167.34573726474576</c:v>
                </c:pt>
                <c:pt idx="552">
                  <c:v>-167.68136028600543</c:v>
                </c:pt>
                <c:pt idx="553">
                  <c:v>-168.02440734779049</c:v>
                </c:pt>
                <c:pt idx="554">
                  <c:v>-168.36697802604905</c:v>
                </c:pt>
                <c:pt idx="555">
                  <c:v>-168.70907822273347</c:v>
                </c:pt>
                <c:pt idx="556">
                  <c:v>-169.0507138402233</c:v>
                </c:pt>
                <c:pt idx="557">
                  <c:v>-169.74859003741895</c:v>
                </c:pt>
                <c:pt idx="558">
                  <c:v>-170.44459485182136</c:v>
                </c:pt>
                <c:pt idx="559">
                  <c:v>-171.15466908454289</c:v>
                </c:pt>
                <c:pt idx="560">
                  <c:v>-171.86289078621925</c:v>
                </c:pt>
                <c:pt idx="561">
                  <c:v>-172.58605147200072</c:v>
                </c:pt>
                <c:pt idx="562">
                  <c:v>-173.30738114963438</c:v>
                </c:pt>
                <c:pt idx="563">
                  <c:v>-174.04235618520821</c:v>
                </c:pt>
                <c:pt idx="564">
                  <c:v>-174.77553418625266</c:v>
                </c:pt>
                <c:pt idx="565">
                  <c:v>-175.52538784701494</c:v>
                </c:pt>
                <c:pt idx="566">
                  <c:v>-176.27346834626701</c:v>
                </c:pt>
                <c:pt idx="567">
                  <c:v>-177.03816335080421</c:v>
                </c:pt>
                <c:pt idx="568">
                  <c:v>-177.80111285084561</c:v>
                </c:pt>
                <c:pt idx="569">
                  <c:v>-178.57758011956753</c:v>
                </c:pt>
                <c:pt idx="570">
                  <c:v>-179.35234398651403</c:v>
                </c:pt>
                <c:pt idx="571">
                  <c:v>-180.14665668653097</c:v>
                </c:pt>
                <c:pt idx="572">
                  <c:v>-180.93927960391892</c:v>
                </c:pt>
                <c:pt idx="573">
                  <c:v>-181.74534157026881</c:v>
                </c:pt>
                <c:pt idx="574">
                  <c:v>-182.54974797912891</c:v>
                </c:pt>
                <c:pt idx="575">
                  <c:v>-183.37356819613134</c:v>
                </c:pt>
                <c:pt idx="576">
                  <c:v>-184.19573301288236</c:v>
                </c:pt>
                <c:pt idx="577">
                  <c:v>-187.65884259125835</c:v>
                </c:pt>
                <c:pt idx="578">
                  <c:v>-191.09452657808481</c:v>
                </c:pt>
                <c:pt idx="579">
                  <c:v>-198.52439289131999</c:v>
                </c:pt>
                <c:pt idx="580">
                  <c:v>-206.48628112514029</c:v>
                </c:pt>
                <c:pt idx="581">
                  <c:v>-214.87906368368195</c:v>
                </c:pt>
                <c:pt idx="582">
                  <c:v>-223.51242956669898</c:v>
                </c:pt>
                <c:pt idx="583">
                  <c:v>-232.08480210385488</c:v>
                </c:pt>
                <c:pt idx="584">
                  <c:v>-240.26021120867063</c:v>
                </c:pt>
                <c:pt idx="585">
                  <c:v>-247.72534177388556</c:v>
                </c:pt>
                <c:pt idx="586">
                  <c:v>-254.27319090292781</c:v>
                </c:pt>
                <c:pt idx="587">
                  <c:v>-259.81974183458908</c:v>
                </c:pt>
                <c:pt idx="588">
                  <c:v>-264.37505041821117</c:v>
                </c:pt>
                <c:pt idx="589">
                  <c:v>-268.02430379539805</c:v>
                </c:pt>
                <c:pt idx="590">
                  <c:v>-270.8792351454897</c:v>
                </c:pt>
                <c:pt idx="591">
                  <c:v>-273.06236441948658</c:v>
                </c:pt>
                <c:pt idx="592">
                  <c:v>-274.69100186247078</c:v>
                </c:pt>
                <c:pt idx="593">
                  <c:v>-275.87197720821871</c:v>
                </c:pt>
                <c:pt idx="594">
                  <c:v>-276.69783080758157</c:v>
                </c:pt>
                <c:pt idx="595">
                  <c:v>-277.24799037778939</c:v>
                </c:pt>
                <c:pt idx="596">
                  <c:v>-277.58881102930735</c:v>
                </c:pt>
                <c:pt idx="597">
                  <c:v>-277.77535995014904</c:v>
                </c:pt>
                <c:pt idx="598">
                  <c:v>-277.85255670295652</c:v>
                </c:pt>
                <c:pt idx="599">
                  <c:v>-277.85680734434163</c:v>
                </c:pt>
                <c:pt idx="600">
                  <c:v>-277.81726777110242</c:v>
                </c:pt>
              </c:numCache>
            </c:numRef>
          </c:yVal>
          <c:smooth val="0"/>
          <c:extLst>
            <c:ext xmlns:c16="http://schemas.microsoft.com/office/drawing/2014/chart" uri="{C3380CC4-5D6E-409C-BE32-E72D297353CC}">
              <c16:uniqueId val="{0000000B-4BA7-4FA6-AB73-85DC72E7447B}"/>
            </c:ext>
          </c:extLst>
        </c:ser>
        <c:ser>
          <c:idx val="1"/>
          <c:order val="7"/>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C-4BA7-4FA6-AB73-85DC72E7447B}"/>
              </c:ext>
            </c:extLst>
          </c:dPt>
          <c:xVal>
            <c:numRef>
              <c:f>'Stability Calculations'!$A$617:$A$618</c:f>
              <c:numCache>
                <c:formatCode>General</c:formatCode>
                <c:ptCount val="2"/>
                <c:pt idx="0">
                  <c:v>38462</c:v>
                </c:pt>
                <c:pt idx="1">
                  <c:v>38462</c:v>
                </c:pt>
              </c:numCache>
            </c:numRef>
          </c:xVal>
          <c:yVal>
            <c:numRef>
              <c:f>'Stability Calculations'!$V$617:$V$618</c:f>
              <c:numCache>
                <c:formatCode>0.00</c:formatCode>
                <c:ptCount val="2"/>
                <c:pt idx="0">
                  <c:v>-130.30508618905952</c:v>
                </c:pt>
                <c:pt idx="1">
                  <c:v>-135</c:v>
                </c:pt>
              </c:numCache>
            </c:numRef>
          </c:yVal>
          <c:smooth val="0"/>
          <c:extLst>
            <c:ext xmlns:c16="http://schemas.microsoft.com/office/drawing/2014/chart" uri="{C3380CC4-5D6E-409C-BE32-E72D297353CC}">
              <c16:uniqueId val="{0000000D-4BA7-4FA6-AB73-85DC72E7447B}"/>
            </c:ext>
          </c:extLst>
        </c:ser>
        <c:ser>
          <c:idx val="0"/>
          <c:order val="8"/>
          <c:tx>
            <c:v>Fc2</c:v>
          </c:tx>
          <c:spPr>
            <a:ln w="22225">
              <a:solidFill>
                <a:schemeClr val="tx1">
                  <a:lumMod val="50000"/>
                  <a:lumOff val="50000"/>
                </a:schemeClr>
              </a:solidFill>
              <a:prstDash val="sysDash"/>
            </a:ln>
          </c:spPr>
          <c:marker>
            <c:symbol val="none"/>
          </c:marker>
          <c:xVal>
            <c:numRef>
              <c:f>'Stability Calculations'!$A$619:$A$620</c:f>
              <c:numCache>
                <c:formatCode>General</c:formatCode>
                <c:ptCount val="2"/>
                <c:pt idx="0">
                  <c:v>38462</c:v>
                </c:pt>
                <c:pt idx="1">
                  <c:v>1000000</c:v>
                </c:pt>
              </c:numCache>
            </c:numRef>
          </c:xVal>
          <c:yVal>
            <c:numRef>
              <c:f>'Stability Calculations'!$V$619:$V$620</c:f>
              <c:numCache>
                <c:formatCode>0.00</c:formatCode>
                <c:ptCount val="2"/>
                <c:pt idx="1">
                  <c:v>-130.30508618905952</c:v>
                </c:pt>
              </c:numCache>
            </c:numRef>
          </c:yVal>
          <c:smooth val="0"/>
          <c:extLst>
            <c:ext xmlns:c16="http://schemas.microsoft.com/office/drawing/2014/chart" uri="{C3380CC4-5D6E-409C-BE32-E72D297353CC}">
              <c16:uniqueId val="{0000000E-4BA7-4FA6-AB73-85DC72E7447B}"/>
            </c:ext>
          </c:extLst>
        </c:ser>
        <c:dLbls>
          <c:showLegendKey val="0"/>
          <c:showVal val="0"/>
          <c:showCatName val="0"/>
          <c:showSerName val="0"/>
          <c:showPercent val="0"/>
          <c:showBubbleSize val="0"/>
        </c:dLbls>
        <c:axId val="333075584"/>
        <c:axId val="333077120"/>
      </c:scatterChart>
      <c:valAx>
        <c:axId val="333063296"/>
        <c:scaling>
          <c:logBase val="10"/>
          <c:orientation val="minMax"/>
          <c:max val="1000000"/>
          <c:min val="1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33065216"/>
        <c:crossesAt val="-80"/>
        <c:crossBetween val="midCat"/>
      </c:valAx>
      <c:valAx>
        <c:axId val="333065216"/>
        <c:scaling>
          <c:orientation val="minMax"/>
          <c:max val="8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Loop 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3063296"/>
        <c:crossesAt val="1.0000000000000005E-2"/>
        <c:crossBetween val="midCat"/>
        <c:majorUnit val="20"/>
      </c:valAx>
      <c:valAx>
        <c:axId val="333075584"/>
        <c:scaling>
          <c:logBase val="10"/>
          <c:orientation val="minMax"/>
        </c:scaling>
        <c:delete val="1"/>
        <c:axPos val="b"/>
        <c:numFmt formatCode="General" sourceLinked="1"/>
        <c:majorTickMark val="out"/>
        <c:minorTickMark val="none"/>
        <c:tickLblPos val="none"/>
        <c:crossAx val="333077120"/>
        <c:crosses val="autoZero"/>
        <c:crossBetween val="midCat"/>
      </c:valAx>
      <c:valAx>
        <c:axId val="333077120"/>
        <c:scaling>
          <c:orientation val="minMax"/>
          <c:max val="-45"/>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Loop Phase  (°)</a:t>
                </a:r>
              </a:p>
            </c:rich>
          </c:tx>
          <c:layout>
            <c:manualLayout>
              <c:xMode val="edge"/>
              <c:yMode val="edge"/>
              <c:x val="0.9649302942395358"/>
              <c:y val="0.3676377952755906"/>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3075584"/>
        <c:crosses val="max"/>
        <c:crossBetween val="midCat"/>
        <c:majorUnit val="45"/>
      </c:valAx>
      <c:spPr>
        <a:noFill/>
        <a:ln w="12700">
          <a:solidFill>
            <a:srgbClr val="808080"/>
          </a:solidFill>
          <a:prstDash val="solid"/>
        </a:ln>
      </c:spPr>
    </c:plotArea>
    <c:plotVisOnly val="1"/>
    <c:dispBlanksAs val="span"/>
    <c:showDLblsOverMax val="0"/>
  </c:chart>
  <c:spPr>
    <a:noFill/>
    <a:ln w="9525">
      <a:no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u="none">
                <a:latin typeface="Arial" pitchFamily="34" charset="0"/>
                <a:cs typeface="Arial" pitchFamily="34" charset="0"/>
              </a:rPr>
              <a:t>Filter Attenuations (lower = better)</a:t>
            </a:r>
          </a:p>
        </c:rich>
      </c:tx>
      <c:layout>
        <c:manualLayout>
          <c:xMode val="edge"/>
          <c:yMode val="edge"/>
          <c:x val="8.0358613068103324E-2"/>
          <c:y val="2.0629921259842518E-2"/>
        </c:manualLayout>
      </c:layout>
      <c:overlay val="0"/>
      <c:spPr>
        <a:noFill/>
        <a:ln w="25400">
          <a:noFill/>
        </a:ln>
      </c:spPr>
    </c:title>
    <c:autoTitleDeleted val="0"/>
    <c:plotArea>
      <c:layout>
        <c:manualLayout>
          <c:layoutTarget val="inner"/>
          <c:xMode val="edge"/>
          <c:yMode val="edge"/>
          <c:x val="8.6865550467700392E-2"/>
          <c:y val="0.11264619116931211"/>
          <c:w val="0.80861197204072899"/>
          <c:h val="0.762051843542218"/>
        </c:manualLayout>
      </c:layout>
      <c:scatterChart>
        <c:scatterStyle val="smoothMarker"/>
        <c:varyColors val="0"/>
        <c:ser>
          <c:idx val="2"/>
          <c:order val="0"/>
          <c:tx>
            <c:v>AEF</c:v>
          </c:tx>
          <c:spPr>
            <a:ln w="31750">
              <a:solidFill>
                <a:srgbClr val="FF0000"/>
              </a:solidFill>
              <a:prstDash val="solid"/>
            </a:ln>
          </c:spPr>
          <c:marker>
            <c:symbol val="none"/>
          </c:marker>
          <c:xVal>
            <c:numRef>
              <c:f>'Input Filter Calculations'!$A$13:$A$96</c:f>
              <c:numCache>
                <c:formatCode>General</c:formatCode>
                <c:ptCount val="84"/>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2000</c:v>
                </c:pt>
                <c:pt idx="29">
                  <c:v>3000</c:v>
                </c:pt>
                <c:pt idx="30">
                  <c:v>4000</c:v>
                </c:pt>
                <c:pt idx="31">
                  <c:v>5000</c:v>
                </c:pt>
                <c:pt idx="32">
                  <c:v>6000</c:v>
                </c:pt>
                <c:pt idx="33">
                  <c:v>7000</c:v>
                </c:pt>
                <c:pt idx="34">
                  <c:v>8000</c:v>
                </c:pt>
                <c:pt idx="35">
                  <c:v>9000</c:v>
                </c:pt>
                <c:pt idx="36">
                  <c:v>10000</c:v>
                </c:pt>
                <c:pt idx="37">
                  <c:v>11000</c:v>
                </c:pt>
                <c:pt idx="38">
                  <c:v>12000</c:v>
                </c:pt>
                <c:pt idx="39">
                  <c:v>13000</c:v>
                </c:pt>
                <c:pt idx="40">
                  <c:v>15000</c:v>
                </c:pt>
                <c:pt idx="41">
                  <c:v>16000</c:v>
                </c:pt>
                <c:pt idx="42">
                  <c:v>17500</c:v>
                </c:pt>
                <c:pt idx="43">
                  <c:v>19000</c:v>
                </c:pt>
                <c:pt idx="44">
                  <c:v>20000</c:v>
                </c:pt>
                <c:pt idx="45">
                  <c:v>25000</c:v>
                </c:pt>
                <c:pt idx="46">
                  <c:v>30000</c:v>
                </c:pt>
                <c:pt idx="47">
                  <c:v>35000</c:v>
                </c:pt>
                <c:pt idx="48">
                  <c:v>40000</c:v>
                </c:pt>
                <c:pt idx="49">
                  <c:v>45000</c:v>
                </c:pt>
                <c:pt idx="50">
                  <c:v>50000</c:v>
                </c:pt>
                <c:pt idx="51">
                  <c:v>55000</c:v>
                </c:pt>
                <c:pt idx="52">
                  <c:v>60000</c:v>
                </c:pt>
                <c:pt idx="53">
                  <c:v>65000</c:v>
                </c:pt>
                <c:pt idx="54">
                  <c:v>70000</c:v>
                </c:pt>
                <c:pt idx="55">
                  <c:v>75000</c:v>
                </c:pt>
                <c:pt idx="56">
                  <c:v>80000</c:v>
                </c:pt>
                <c:pt idx="57">
                  <c:v>90000</c:v>
                </c:pt>
                <c:pt idx="58">
                  <c:v>100000</c:v>
                </c:pt>
                <c:pt idx="59">
                  <c:v>110000</c:v>
                </c:pt>
                <c:pt idx="60">
                  <c:v>120000</c:v>
                </c:pt>
                <c:pt idx="61">
                  <c:v>130000</c:v>
                </c:pt>
                <c:pt idx="62">
                  <c:v>150000</c:v>
                </c:pt>
                <c:pt idx="63">
                  <c:v>160000</c:v>
                </c:pt>
                <c:pt idx="64">
                  <c:v>175000</c:v>
                </c:pt>
                <c:pt idx="65">
                  <c:v>190000</c:v>
                </c:pt>
                <c:pt idx="66" formatCode="0.00E+00">
                  <c:v>200000</c:v>
                </c:pt>
                <c:pt idx="67">
                  <c:v>300000</c:v>
                </c:pt>
                <c:pt idx="68" formatCode="0.00E+00">
                  <c:v>400000</c:v>
                </c:pt>
                <c:pt idx="69">
                  <c:v>500000</c:v>
                </c:pt>
                <c:pt idx="70" formatCode="0.00E+00">
                  <c:v>600000</c:v>
                </c:pt>
                <c:pt idx="71">
                  <c:v>700000</c:v>
                </c:pt>
                <c:pt idx="72" formatCode="0.00E+00">
                  <c:v>800000</c:v>
                </c:pt>
                <c:pt idx="73">
                  <c:v>900000</c:v>
                </c:pt>
                <c:pt idx="74" formatCode="0.00E+00">
                  <c:v>1000000</c:v>
                </c:pt>
                <c:pt idx="75" formatCode="0.00E+00">
                  <c:v>2000000</c:v>
                </c:pt>
                <c:pt idx="76" formatCode="0.00E+00">
                  <c:v>3000000</c:v>
                </c:pt>
                <c:pt idx="77" formatCode="0.00E+00">
                  <c:v>4000000</c:v>
                </c:pt>
                <c:pt idx="78" formatCode="0.00E+00">
                  <c:v>5000000</c:v>
                </c:pt>
                <c:pt idx="79" formatCode="0.00E+00">
                  <c:v>6000000</c:v>
                </c:pt>
                <c:pt idx="80" formatCode="0.00E+00">
                  <c:v>7000000</c:v>
                </c:pt>
                <c:pt idx="81" formatCode="0.00E+00">
                  <c:v>8000000</c:v>
                </c:pt>
                <c:pt idx="82" formatCode="0.00E+00">
                  <c:v>9000000</c:v>
                </c:pt>
                <c:pt idx="83" formatCode="0.00E+00">
                  <c:v>10000000</c:v>
                </c:pt>
              </c:numCache>
            </c:numRef>
          </c:xVal>
          <c:yVal>
            <c:numRef>
              <c:f>'Input Filter Calculations'!$AM$13:$AM$96</c:f>
              <c:numCache>
                <c:formatCode>General</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numCache>
            </c:numRef>
          </c:yVal>
          <c:smooth val="1"/>
          <c:extLst>
            <c:ext xmlns:c16="http://schemas.microsoft.com/office/drawing/2014/chart" uri="{C3380CC4-5D6E-409C-BE32-E72D297353CC}">
              <c16:uniqueId val="{00000002-1554-471F-B0A2-55C295C7D7CC}"/>
            </c:ext>
          </c:extLst>
        </c:ser>
        <c:ser>
          <c:idx val="0"/>
          <c:order val="1"/>
          <c:tx>
            <c:v>Passive</c:v>
          </c:tx>
          <c:spPr>
            <a:ln>
              <a:solidFill>
                <a:srgbClr val="FFC000"/>
              </a:solidFill>
            </a:ln>
          </c:spPr>
          <c:marker>
            <c:symbol val="none"/>
          </c:marker>
          <c:xVal>
            <c:numRef>
              <c:f>'Input Filter Calculations'!$A$13:$A$96</c:f>
              <c:numCache>
                <c:formatCode>General</c:formatCode>
                <c:ptCount val="84"/>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2000</c:v>
                </c:pt>
                <c:pt idx="29">
                  <c:v>3000</c:v>
                </c:pt>
                <c:pt idx="30">
                  <c:v>4000</c:v>
                </c:pt>
                <c:pt idx="31">
                  <c:v>5000</c:v>
                </c:pt>
                <c:pt idx="32">
                  <c:v>6000</c:v>
                </c:pt>
                <c:pt idx="33">
                  <c:v>7000</c:v>
                </c:pt>
                <c:pt idx="34">
                  <c:v>8000</c:v>
                </c:pt>
                <c:pt idx="35">
                  <c:v>9000</c:v>
                </c:pt>
                <c:pt idx="36">
                  <c:v>10000</c:v>
                </c:pt>
                <c:pt idx="37">
                  <c:v>11000</c:v>
                </c:pt>
                <c:pt idx="38">
                  <c:v>12000</c:v>
                </c:pt>
                <c:pt idx="39">
                  <c:v>13000</c:v>
                </c:pt>
                <c:pt idx="40">
                  <c:v>15000</c:v>
                </c:pt>
                <c:pt idx="41">
                  <c:v>16000</c:v>
                </c:pt>
                <c:pt idx="42">
                  <c:v>17500</c:v>
                </c:pt>
                <c:pt idx="43">
                  <c:v>19000</c:v>
                </c:pt>
                <c:pt idx="44">
                  <c:v>20000</c:v>
                </c:pt>
                <c:pt idx="45">
                  <c:v>25000</c:v>
                </c:pt>
                <c:pt idx="46">
                  <c:v>30000</c:v>
                </c:pt>
                <c:pt idx="47">
                  <c:v>35000</c:v>
                </c:pt>
                <c:pt idx="48">
                  <c:v>40000</c:v>
                </c:pt>
                <c:pt idx="49">
                  <c:v>45000</c:v>
                </c:pt>
                <c:pt idx="50">
                  <c:v>50000</c:v>
                </c:pt>
                <c:pt idx="51">
                  <c:v>55000</c:v>
                </c:pt>
                <c:pt idx="52">
                  <c:v>60000</c:v>
                </c:pt>
                <c:pt idx="53">
                  <c:v>65000</c:v>
                </c:pt>
                <c:pt idx="54">
                  <c:v>70000</c:v>
                </c:pt>
                <c:pt idx="55">
                  <c:v>75000</c:v>
                </c:pt>
                <c:pt idx="56">
                  <c:v>80000</c:v>
                </c:pt>
                <c:pt idx="57">
                  <c:v>90000</c:v>
                </c:pt>
                <c:pt idx="58">
                  <c:v>100000</c:v>
                </c:pt>
                <c:pt idx="59">
                  <c:v>110000</c:v>
                </c:pt>
                <c:pt idx="60">
                  <c:v>120000</c:v>
                </c:pt>
                <c:pt idx="61">
                  <c:v>130000</c:v>
                </c:pt>
                <c:pt idx="62">
                  <c:v>150000</c:v>
                </c:pt>
                <c:pt idx="63">
                  <c:v>160000</c:v>
                </c:pt>
                <c:pt idx="64">
                  <c:v>175000</c:v>
                </c:pt>
                <c:pt idx="65">
                  <c:v>190000</c:v>
                </c:pt>
                <c:pt idx="66" formatCode="0.00E+00">
                  <c:v>200000</c:v>
                </c:pt>
                <c:pt idx="67">
                  <c:v>300000</c:v>
                </c:pt>
                <c:pt idx="68" formatCode="0.00E+00">
                  <c:v>400000</c:v>
                </c:pt>
                <c:pt idx="69">
                  <c:v>500000</c:v>
                </c:pt>
                <c:pt idx="70" formatCode="0.00E+00">
                  <c:v>600000</c:v>
                </c:pt>
                <c:pt idx="71">
                  <c:v>700000</c:v>
                </c:pt>
                <c:pt idx="72" formatCode="0.00E+00">
                  <c:v>800000</c:v>
                </c:pt>
                <c:pt idx="73">
                  <c:v>900000</c:v>
                </c:pt>
                <c:pt idx="74" formatCode="0.00E+00">
                  <c:v>1000000</c:v>
                </c:pt>
                <c:pt idx="75" formatCode="0.00E+00">
                  <c:v>2000000</c:v>
                </c:pt>
                <c:pt idx="76" formatCode="0.00E+00">
                  <c:v>3000000</c:v>
                </c:pt>
                <c:pt idx="77" formatCode="0.00E+00">
                  <c:v>4000000</c:v>
                </c:pt>
                <c:pt idx="78" formatCode="0.00E+00">
                  <c:v>5000000</c:v>
                </c:pt>
                <c:pt idx="79" formatCode="0.00E+00">
                  <c:v>6000000</c:v>
                </c:pt>
                <c:pt idx="80" formatCode="0.00E+00">
                  <c:v>7000000</c:v>
                </c:pt>
                <c:pt idx="81" formatCode="0.00E+00">
                  <c:v>8000000</c:v>
                </c:pt>
                <c:pt idx="82" formatCode="0.00E+00">
                  <c:v>9000000</c:v>
                </c:pt>
                <c:pt idx="83" formatCode="0.00E+00">
                  <c:v>10000000</c:v>
                </c:pt>
              </c:numCache>
            </c:numRef>
          </c:xVal>
          <c:yVal>
            <c:numRef>
              <c:f>'Input Filter Calculations'!$AA$13:$AA$96</c:f>
              <c:numCache>
                <c:formatCode>General</c:formatCode>
                <c:ptCount val="84"/>
                <c:pt idx="0">
                  <c:v>3.4274512546547312E-10</c:v>
                </c:pt>
                <c:pt idx="1">
                  <c:v>1.3710672912527204E-9</c:v>
                </c:pt>
                <c:pt idx="2">
                  <c:v>3.0848797076462865E-9</c:v>
                </c:pt>
                <c:pt idx="3">
                  <c:v>5.484271092367277E-9</c:v>
                </c:pt>
                <c:pt idx="4">
                  <c:v>8.5692375875376739E-9</c:v>
                </c:pt>
                <c:pt idx="5">
                  <c:v>1.2339696260264985E-8</c:v>
                </c:pt>
                <c:pt idx="6">
                  <c:v>1.6795643252346658E-8</c:v>
                </c:pt>
                <c:pt idx="7">
                  <c:v>2.1937169209509332E-8</c:v>
                </c:pt>
                <c:pt idx="8">
                  <c:v>2.7764185412408903E-8</c:v>
                </c:pt>
                <c:pt idx="9">
                  <c:v>3.4276778649137416E-8</c:v>
                </c:pt>
                <c:pt idx="10">
                  <c:v>1.3710720057442979E-7</c:v>
                </c:pt>
                <c:pt idx="11">
                  <c:v>3.0849126526975555E-7</c:v>
                </c:pt>
                <c:pt idx="12">
                  <c:v>5.4842887803037698E-7</c:v>
                </c:pt>
                <c:pt idx="13">
                  <c:v>8.5692003703246746E-7</c:v>
                </c:pt>
                <c:pt idx="14">
                  <c:v>1.2339649066219747E-6</c:v>
                </c:pt>
                <c:pt idx="15">
                  <c:v>1.6795633910819215E-6</c:v>
                </c:pt>
                <c:pt idx="16">
                  <c:v>2.1937155666510632E-6</c:v>
                </c:pt>
                <c:pt idx="17">
                  <c:v>2.7764213343660625E-6</c:v>
                </c:pt>
                <c:pt idx="18">
                  <c:v>3.4276806823585146E-6</c:v>
                </c:pt>
                <c:pt idx="19">
                  <c:v>1.3710729639650269E-5</c:v>
                </c:pt>
                <c:pt idx="20">
                  <c:v>3.084916708360373E-5</c:v>
                </c:pt>
                <c:pt idx="21">
                  <c:v>5.4843026783634755E-5</c:v>
                </c:pt>
                <c:pt idx="22">
                  <c:v>8.5692356072072088E-5</c:v>
                </c:pt>
                <c:pt idx="23">
                  <c:v>1.2339721601309145E-4</c:v>
                </c:pt>
                <c:pt idx="24">
                  <c:v>1.6795768070547058E-4</c:v>
                </c:pt>
                <c:pt idx="25">
                  <c:v>2.1937383832667357E-4</c:v>
                </c:pt>
                <c:pt idx="26">
                  <c:v>2.7764579017865241E-4</c:v>
                </c:pt>
                <c:pt idx="27">
                  <c:v>3.4277365128982361E-4</c:v>
                </c:pt>
                <c:pt idx="28">
                  <c:v>1.3711622397485389E-3</c:v>
                </c:pt>
                <c:pt idx="29">
                  <c:v>3.0853687138606856E-3</c:v>
                </c:pt>
                <c:pt idx="30">
                  <c:v>5.4857314697180446E-3</c:v>
                </c:pt>
                <c:pt idx="31">
                  <c:v>8.5727245740982051E-3</c:v>
                </c:pt>
                <c:pt idx="32">
                  <c:v>1.2346958077157324E-2</c:v>
                </c:pt>
                <c:pt idx="33">
                  <c:v>1.680917841515581E-2</c:v>
                </c:pt>
                <c:pt idx="34">
                  <c:v>2.1960268903701091E-2</c:v>
                </c:pt>
                <c:pt idx="35">
                  <c:v>2.7801250322054171E-2</c:v>
                </c:pt>
                <c:pt idx="36">
                  <c:v>3.4333281589256678E-2</c:v>
                </c:pt>
                <c:pt idx="37">
                  <c:v>4.1557660533084087E-2</c:v>
                </c:pt>
                <c:pt idx="38">
                  <c:v>4.9475824752593413E-2</c:v>
                </c:pt>
                <c:pt idx="39">
                  <c:v>5.808935257490936E-2</c:v>
                </c:pt>
                <c:pt idx="40">
                  <c:v>7.7409522394356958E-2</c:v>
                </c:pt>
                <c:pt idx="41">
                  <c:v>8.8120034652894183E-2</c:v>
                </c:pt>
                <c:pt idx="42">
                  <c:v>0.10550484102978921</c:v>
                </c:pt>
                <c:pt idx="43">
                  <c:v>0.12447955922984369</c:v>
                </c:pt>
                <c:pt idx="44">
                  <c:v>0.13801689257265934</c:v>
                </c:pt>
                <c:pt idx="45">
                  <c:v>0.21646204909008521</c:v>
                </c:pt>
                <c:pt idx="46">
                  <c:v>0.31314808208663503</c:v>
                </c:pt>
                <c:pt idx="47">
                  <c:v>0.42858150735745315</c:v>
                </c:pt>
                <c:pt idx="48">
                  <c:v>0.56338125510820847</c:v>
                </c:pt>
                <c:pt idx="49">
                  <c:v>0.71828994959670589</c:v>
                </c:pt>
                <c:pt idx="50">
                  <c:v>0.89418785513768861</c:v>
                </c:pt>
                <c:pt idx="51">
                  <c:v>1.0921099587044569</c:v>
                </c:pt>
                <c:pt idx="52">
                  <c:v>1.3132667689997053</c:v>
                </c:pt>
                <c:pt idx="53">
                  <c:v>1.5590695347266561</c:v>
                </c:pt>
                <c:pt idx="54">
                  <c:v>1.8311607132208529</c:v>
                </c:pt>
                <c:pt idx="55">
                  <c:v>2.1314506343374608</c:v>
                </c:pt>
                <c:pt idx="56">
                  <c:v>2.4621613570964245</c:v>
                </c:pt>
                <c:pt idx="57">
                  <c:v>3.2256122149724868</c:v>
                </c:pt>
                <c:pt idx="58">
                  <c:v>4.1477004385549856</c:v>
                </c:pt>
                <c:pt idx="59">
                  <c:v>5.2635704959533189</c:v>
                </c:pt>
                <c:pt idx="60">
                  <c:v>6.6182385434260986</c:v>
                </c:pt>
                <c:pt idx="61">
                  <c:v>8.2585333921617039</c:v>
                </c:pt>
                <c:pt idx="62">
                  <c:v>12.100245900170394</c:v>
                </c:pt>
                <c:pt idx="63">
                  <c:v>12.959790177872241</c:v>
                </c:pt>
                <c:pt idx="64">
                  <c:v>10.632434371784214</c:v>
                </c:pt>
                <c:pt idx="65">
                  <c:v>7.0430359282769261</c:v>
                </c:pt>
                <c:pt idx="66">
                  <c:v>4.9459582998103908</c:v>
                </c:pt>
                <c:pt idx="67">
                  <c:v>-6.5724330903943216</c:v>
                </c:pt>
                <c:pt idx="68">
                  <c:v>-12.141260868793136</c:v>
                </c:pt>
                <c:pt idx="69">
                  <c:v>-15.811684145573038</c:v>
                </c:pt>
                <c:pt idx="70">
                  <c:v>-18.549182102928064</c:v>
                </c:pt>
                <c:pt idx="71">
                  <c:v>-20.743388875708668</c:v>
                </c:pt>
                <c:pt idx="72">
                  <c:v>-22.588919033913939</c:v>
                </c:pt>
                <c:pt idx="73">
                  <c:v>-24.194781244722876</c:v>
                </c:pt>
                <c:pt idx="74">
                  <c:v>-25.626768047686518</c:v>
                </c:pt>
                <c:pt idx="75">
                  <c:v>-35.485359346827785</c:v>
                </c:pt>
                <c:pt idx="76">
                  <c:v>-41.818827844809874</c:v>
                </c:pt>
                <c:pt idx="77">
                  <c:v>-46.523147642689807</c:v>
                </c:pt>
                <c:pt idx="78">
                  <c:v>-50.254080822840123</c:v>
                </c:pt>
                <c:pt idx="79">
                  <c:v>-53.339467507298949</c:v>
                </c:pt>
                <c:pt idx="80">
                  <c:v>-55.966960551322785</c:v>
                </c:pt>
                <c:pt idx="81">
                  <c:v>-58.253518683206799</c:v>
                </c:pt>
                <c:pt idx="82">
                  <c:v>-60.27671706539698</c:v>
                </c:pt>
                <c:pt idx="83">
                  <c:v>-62.09053569388221</c:v>
                </c:pt>
              </c:numCache>
            </c:numRef>
          </c:yVal>
          <c:smooth val="1"/>
          <c:extLst>
            <c:ext xmlns:c16="http://schemas.microsoft.com/office/drawing/2014/chart" uri="{C3380CC4-5D6E-409C-BE32-E72D297353CC}">
              <c16:uniqueId val="{00000000-62A6-4E66-BDEB-DB8D174C6CED}"/>
            </c:ext>
          </c:extLst>
        </c:ser>
        <c:dLbls>
          <c:showLegendKey val="0"/>
          <c:showVal val="0"/>
          <c:showCatName val="0"/>
          <c:showSerName val="0"/>
          <c:showPercent val="0"/>
          <c:showBubbleSize val="0"/>
        </c:dLbls>
        <c:axId val="333256960"/>
        <c:axId val="333259136"/>
      </c:scatterChart>
      <c:valAx>
        <c:axId val="333256960"/>
        <c:scaling>
          <c:logBase val="10"/>
          <c:orientation val="minMax"/>
          <c:max val="2500000"/>
          <c:min val="10000"/>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(Hz)</a:t>
                </a:r>
              </a:p>
            </c:rich>
          </c:tx>
          <c:layout>
            <c:manualLayout>
              <c:xMode val="edge"/>
              <c:yMode val="edge"/>
              <c:x val="0.43129335258697837"/>
              <c:y val="0.93828708847530751"/>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33259136"/>
        <c:crossesAt val="-80"/>
        <c:crossBetween val="midCat"/>
      </c:valAx>
      <c:valAx>
        <c:axId val="333259136"/>
        <c:scaling>
          <c:orientation val="minMax"/>
          <c:max val="30"/>
          <c:min val="-6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1.8000828843762959E-2"/>
              <c:y val="0.3741503322722958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3256960"/>
        <c:crossesAt val="1.0000000000000005E-2"/>
        <c:crossBetween val="midCat"/>
        <c:majorUnit val="20"/>
      </c:valAx>
      <c:spPr>
        <a:noFill/>
        <a:ln w="12700">
          <a:solidFill>
            <a:srgbClr val="808080"/>
          </a:solidFill>
          <a:prstDash val="solid"/>
        </a:ln>
      </c:spPr>
    </c:plotArea>
    <c:legend>
      <c:legendPos val="r"/>
      <c:layout>
        <c:manualLayout>
          <c:xMode val="edge"/>
          <c:yMode val="edge"/>
          <c:x val="0.89472517730496448"/>
          <c:y val="0.44527969160104985"/>
          <c:w val="9.9364657210401885E-2"/>
          <c:h val="8.4639029496312967E-2"/>
        </c:manualLayout>
      </c:layout>
      <c:overlay val="0"/>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88" r="0.75000000000000688"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 MOSFET Temp Rise</a:t>
            </a:r>
          </a:p>
        </c:rich>
      </c:tx>
      <c:layout>
        <c:manualLayout>
          <c:xMode val="edge"/>
          <c:yMode val="edge"/>
          <c:x val="0.10222965146116514"/>
          <c:y val="5.3971744656178336E-2"/>
        </c:manualLayout>
      </c:layout>
      <c:overlay val="0"/>
      <c:spPr>
        <a:noFill/>
        <a:ln w="25400">
          <a:noFill/>
        </a:ln>
      </c:spPr>
    </c:title>
    <c:autoTitleDeleted val="0"/>
    <c:plotArea>
      <c:layout>
        <c:manualLayout>
          <c:layoutTarget val="inner"/>
          <c:xMode val="edge"/>
          <c:yMode val="edge"/>
          <c:x val="0.10064104795743185"/>
          <c:y val="0.15757606845026328"/>
          <c:w val="0.85614122031885154"/>
          <c:h val="0.71717313204926625"/>
        </c:manualLayout>
      </c:layout>
      <c:scatterChart>
        <c:scatterStyle val="lineMarker"/>
        <c:varyColors val="0"/>
        <c:ser>
          <c:idx val="0"/>
          <c:order val="0"/>
          <c:tx>
            <c:strRef>
              <c:f>'Efficiency Calculations'!$AW$8</c:f>
              <c:strCache>
                <c:ptCount val="1"/>
                <c:pt idx="0">
                  <c:v>Buck ''CONTROL'' MOSFET Temp Rise</c:v>
                </c:pt>
              </c:strCache>
            </c:strRef>
          </c:tx>
          <c:spPr>
            <a:ln w="31750">
              <a:solidFill>
                <a:srgbClr val="000080"/>
              </a:solidFill>
              <a:prstDash val="dash"/>
            </a:ln>
          </c:spPr>
          <c:marker>
            <c:symbol val="none"/>
          </c:marker>
          <c:xVal>
            <c:numRef>
              <c:f>'Efficiency Calculations'!$J$9:$J$109</c:f>
              <c:numCache>
                <c:formatCode>0.000</c:formatCode>
                <c:ptCount val="101"/>
                <c:pt idx="0" formatCode="General">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xVal>
          <c:yVal>
            <c:numRef>
              <c:f>'Efficiency Calculations'!$AW$9:$AW$109</c:f>
              <c:numCache>
                <c:formatCode>0.0</c:formatCode>
                <c:ptCount val="101"/>
                <c:pt idx="0">
                  <c:v>5.7451296985010843E-2</c:v>
                </c:pt>
                <c:pt idx="1">
                  <c:v>0.10524589786766352</c:v>
                </c:pt>
                <c:pt idx="2">
                  <c:v>0.15315396954960458</c:v>
                </c:pt>
                <c:pt idx="3">
                  <c:v>0.20117555506357707</c:v>
                </c:pt>
                <c:pt idx="4">
                  <c:v>0.24931069774833553</c:v>
                </c:pt>
                <c:pt idx="5">
                  <c:v>0.29755944124901412</c:v>
                </c:pt>
                <c:pt idx="6">
                  <c:v>0.34592182951749667</c:v>
                </c:pt>
                <c:pt idx="7">
                  <c:v>0.3943979068127888</c:v>
                </c:pt>
                <c:pt idx="8">
                  <c:v>0.44298771770139284</c:v>
                </c:pt>
                <c:pt idx="9">
                  <c:v>0.49169130705768427</c:v>
                </c:pt>
                <c:pt idx="10">
                  <c:v>0.74975695593828062</c:v>
                </c:pt>
                <c:pt idx="11">
                  <c:v>1.1146998221536653</c:v>
                </c:pt>
                <c:pt idx="12">
                  <c:v>1.47811244892997</c:v>
                </c:pt>
                <c:pt idx="13">
                  <c:v>1.8399952837302296</c:v>
                </c:pt>
                <c:pt idx="14">
                  <c:v>2.2003487700310727</c:v>
                </c:pt>
                <c:pt idx="15">
                  <c:v>2.5591733473223153</c:v>
                </c:pt>
                <c:pt idx="16">
                  <c:v>2.9164694511065368</c:v>
                </c:pt>
                <c:pt idx="17">
                  <c:v>3.2722375128986276</c:v>
                </c:pt>
                <c:pt idx="18">
                  <c:v>3.6264779602253201</c:v>
                </c:pt>
                <c:pt idx="19">
                  <c:v>3.9791912166246779</c:v>
                </c:pt>
                <c:pt idx="20">
                  <c:v>4.316328572996202</c:v>
                </c:pt>
                <c:pt idx="21">
                  <c:v>4.3689348329344782</c:v>
                </c:pt>
                <c:pt idx="22">
                  <c:v>4.4216570325915674</c:v>
                </c:pt>
                <c:pt idx="23">
                  <c:v>4.4744952252001955</c:v>
                </c:pt>
                <c:pt idx="24">
                  <c:v>4.5274494643127277</c:v>
                </c:pt>
                <c:pt idx="25">
                  <c:v>4.5805198038016037</c:v>
                </c:pt>
                <c:pt idx="26">
                  <c:v>4.6337062978597698</c:v>
                </c:pt>
                <c:pt idx="27">
                  <c:v>4.6870090010011225</c:v>
                </c:pt>
                <c:pt idx="28">
                  <c:v>4.7404279680609402</c:v>
                </c:pt>
                <c:pt idx="29">
                  <c:v>4.7939632541963357</c:v>
                </c:pt>
                <c:pt idx="30">
                  <c:v>4.8476149148866909</c:v>
                </c:pt>
                <c:pt idx="31">
                  <c:v>4.9013830059341146</c:v>
                </c:pt>
                <c:pt idx="32">
                  <c:v>4.9552675834638844</c:v>
                </c:pt>
                <c:pt idx="33">
                  <c:v>5.0092687039249011</c:v>
                </c:pt>
                <c:pt idx="34">
                  <c:v>5.0633864240901456</c:v>
                </c:pt>
                <c:pt idx="35">
                  <c:v>5.1176208010571349</c:v>
                </c:pt>
                <c:pt idx="36">
                  <c:v>5.1719718922483748</c:v>
                </c:pt>
                <c:pt idx="37">
                  <c:v>5.2264397554118345</c:v>
                </c:pt>
                <c:pt idx="38">
                  <c:v>5.2810244486213991</c:v>
                </c:pt>
                <c:pt idx="39">
                  <c:v>5.3357260302773417</c:v>
                </c:pt>
                <c:pt idx="40">
                  <c:v>5.3905445591067922</c:v>
                </c:pt>
                <c:pt idx="41">
                  <c:v>5.4454800941642043</c:v>
                </c:pt>
                <c:pt idx="42">
                  <c:v>5.5005326948318398</c:v>
                </c:pt>
                <c:pt idx="43">
                  <c:v>5.5557024208202295</c:v>
                </c:pt>
                <c:pt idx="44">
                  <c:v>5.6109893321686677</c:v>
                </c:pt>
                <c:pt idx="45">
                  <c:v>5.6663934892456833</c:v>
                </c:pt>
                <c:pt idx="46">
                  <c:v>5.7219149527495272</c:v>
                </c:pt>
                <c:pt idx="47">
                  <c:v>5.7775537837086546</c:v>
                </c:pt>
                <c:pt idx="48">
                  <c:v>5.8333100434822205</c:v>
                </c:pt>
                <c:pt idx="49">
                  <c:v>5.8891837937605658</c:v>
                </c:pt>
                <c:pt idx="50">
                  <c:v>5.9451750965657126</c:v>
                </c:pt>
                <c:pt idx="51">
                  <c:v>6.0012840142518593</c:v>
                </c:pt>
                <c:pt idx="52">
                  <c:v>6.0575106095058793</c:v>
                </c:pt>
                <c:pt idx="53">
                  <c:v>6.1138549453478275</c:v>
                </c:pt>
                <c:pt idx="54">
                  <c:v>6.1703170851314324</c:v>
                </c:pt>
                <c:pt idx="55">
                  <c:v>6.2268970925446103</c:v>
                </c:pt>
                <c:pt idx="56">
                  <c:v>6.2835950316099805</c:v>
                </c:pt>
                <c:pt idx="57">
                  <c:v>6.3404109666853588</c:v>
                </c:pt>
                <c:pt idx="58">
                  <c:v>6.3973449624642891</c:v>
                </c:pt>
                <c:pt idx="59">
                  <c:v>6.4543970839765485</c:v>
                </c:pt>
                <c:pt idx="60">
                  <c:v>6.5115673965886707</c:v>
                </c:pt>
                <c:pt idx="61">
                  <c:v>6.5688559660044676</c:v>
                </c:pt>
                <c:pt idx="62">
                  <c:v>6.6262628582655516</c:v>
                </c:pt>
                <c:pt idx="63">
                  <c:v>6.6837881397518633</c:v>
                </c:pt>
                <c:pt idx="64">
                  <c:v>6.7414318771822028</c:v>
                </c:pt>
                <c:pt idx="65">
                  <c:v>6.7991941376147578</c:v>
                </c:pt>
                <c:pt idx="66">
                  <c:v>6.8570749884476401</c:v>
                </c:pt>
                <c:pt idx="67">
                  <c:v>6.9150744974194227</c:v>
                </c:pt>
                <c:pt idx="68">
                  <c:v>6.9731927326096823</c:v>
                </c:pt>
                <c:pt idx="69">
                  <c:v>7.0314297624395312</c:v>
                </c:pt>
                <c:pt idx="70">
                  <c:v>7.0897856556721797</c:v>
                </c:pt>
                <c:pt idx="71">
                  <c:v>7.1482604814134652</c:v>
                </c:pt>
                <c:pt idx="72">
                  <c:v>7.2068543091124173</c:v>
                </c:pt>
                <c:pt idx="73">
                  <c:v>7.2655672085617997</c:v>
                </c:pt>
                <c:pt idx="74">
                  <c:v>7.3243992498986765</c:v>
                </c:pt>
                <c:pt idx="75">
                  <c:v>7.3833505036049596</c:v>
                </c:pt>
                <c:pt idx="76">
                  <c:v>7.4424210405079769</c:v>
                </c:pt>
                <c:pt idx="77">
                  <c:v>7.5016109317810402</c:v>
                </c:pt>
                <c:pt idx="78">
                  <c:v>7.5609202489439893</c:v>
                </c:pt>
                <c:pt idx="79">
                  <c:v>7.6203490638637943</c:v>
                </c:pt>
                <c:pt idx="80">
                  <c:v>7.6798974487551019</c:v>
                </c:pt>
                <c:pt idx="81">
                  <c:v>7.7395654761808199</c:v>
                </c:pt>
                <c:pt idx="82">
                  <c:v>7.7993532190526924</c:v>
                </c:pt>
                <c:pt idx="83">
                  <c:v>7.8592607506318819</c:v>
                </c:pt>
                <c:pt idx="84">
                  <c:v>7.9192881445295473</c:v>
                </c:pt>
                <c:pt idx="85">
                  <c:v>7.9794354747074374</c:v>
                </c:pt>
                <c:pt idx="86">
                  <c:v>8.0397028154784707</c:v>
                </c:pt>
                <c:pt idx="87">
                  <c:v>8.1000902415073277</c:v>
                </c:pt>
                <c:pt idx="88">
                  <c:v>8.1605978278110562</c:v>
                </c:pt>
                <c:pt idx="89">
                  <c:v>8.2212256497596492</c:v>
                </c:pt>
                <c:pt idx="90">
                  <c:v>8.281973783076662</c:v>
                </c:pt>
                <c:pt idx="91">
                  <c:v>8.3428423038397987</c:v>
                </c:pt>
                <c:pt idx="92">
                  <c:v>8.4038312884815287</c:v>
                </c:pt>
                <c:pt idx="93">
                  <c:v>8.4649408137896938</c:v>
                </c:pt>
                <c:pt idx="94">
                  <c:v>8.5261709569081106</c:v>
                </c:pt>
                <c:pt idx="95">
                  <c:v>8.5875217953371958</c:v>
                </c:pt>
                <c:pt idx="96">
                  <c:v>8.6489934069345651</c:v>
                </c:pt>
                <c:pt idx="97">
                  <c:v>8.7105858699156791</c:v>
                </c:pt>
                <c:pt idx="98">
                  <c:v>8.7722992628544336</c:v>
                </c:pt>
                <c:pt idx="99">
                  <c:v>8.8341336646838133</c:v>
                </c:pt>
                <c:pt idx="100">
                  <c:v>8.8960891546965009</c:v>
                </c:pt>
              </c:numCache>
            </c:numRef>
          </c:yVal>
          <c:smooth val="0"/>
          <c:extLst>
            <c:ext xmlns:c16="http://schemas.microsoft.com/office/drawing/2014/chart" uri="{C3380CC4-5D6E-409C-BE32-E72D297353CC}">
              <c16:uniqueId val="{00000000-F29C-4E96-8ECF-EEB3B170A4EB}"/>
            </c:ext>
          </c:extLst>
        </c:ser>
        <c:ser>
          <c:idx val="1"/>
          <c:order val="1"/>
          <c:tx>
            <c:strRef>
              <c:f>'Efficiency Calculations'!$AX$8</c:f>
              <c:strCache>
                <c:ptCount val="1"/>
                <c:pt idx="0">
                  <c:v>Buck ''SYNC'' MOSFET Temp Rise</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xVal>
          <c:yVal>
            <c:numRef>
              <c:f>'Efficiency Calculations'!$AX$9:$AX$109</c:f>
              <c:numCache>
                <c:formatCode>0.0</c:formatCode>
                <c:ptCount val="101"/>
                <c:pt idx="0">
                  <c:v>5.0879033583702618E-2</c:v>
                </c:pt>
                <c:pt idx="1">
                  <c:v>7.4543968433267022E-2</c:v>
                </c:pt>
                <c:pt idx="2">
                  <c:v>9.8246444556116766E-2</c:v>
                </c:pt>
                <c:pt idx="3">
                  <c:v>0.12198645078370667</c:v>
                </c:pt>
                <c:pt idx="4">
                  <c:v>0.14576397598269505</c:v>
                </c:pt>
                <c:pt idx="5">
                  <c:v>0.16957900905490875</c:v>
                </c:pt>
                <c:pt idx="6">
                  <c:v>0.19343153893730736</c:v>
                </c:pt>
                <c:pt idx="7">
                  <c:v>0.21732155460194819</c:v>
                </c:pt>
                <c:pt idx="8">
                  <c:v>0.24124904505595141</c:v>
                </c:pt>
                <c:pt idx="9">
                  <c:v>0.26521399934146461</c:v>
                </c:pt>
                <c:pt idx="10">
                  <c:v>0.28921640653562825</c:v>
                </c:pt>
                <c:pt idx="11">
                  <c:v>0.31325625575054056</c:v>
                </c:pt>
                <c:pt idx="12">
                  <c:v>0.33733353613322303</c:v>
                </c:pt>
                <c:pt idx="13">
                  <c:v>0.36144823686558553</c:v>
                </c:pt>
                <c:pt idx="14">
                  <c:v>0.38560034716439201</c:v>
                </c:pt>
                <c:pt idx="15">
                  <c:v>0.40978985628122594</c:v>
                </c:pt>
                <c:pt idx="16">
                  <c:v>0.43401675350245578</c:v>
                </c:pt>
                <c:pt idx="17">
                  <c:v>0.45828102814920102</c:v>
                </c:pt>
                <c:pt idx="18">
                  <c:v>0.48258266957729773</c:v>
                </c:pt>
                <c:pt idx="19">
                  <c:v>0.50692166717726461</c:v>
                </c:pt>
                <c:pt idx="20">
                  <c:v>0.53141238749262742</c:v>
                </c:pt>
                <c:pt idx="21">
                  <c:v>0.55825145624601058</c:v>
                </c:pt>
                <c:pt idx="22">
                  <c:v>0.58512786632828218</c:v>
                </c:pt>
                <c:pt idx="23">
                  <c:v>0.61204160835331833</c:v>
                </c:pt>
                <c:pt idx="24">
                  <c:v>0.63899267296906281</c:v>
                </c:pt>
                <c:pt idx="25">
                  <c:v>0.66598105085749482</c:v>
                </c:pt>
                <c:pt idx="26">
                  <c:v>0.6930067327345979</c:v>
                </c:pt>
                <c:pt idx="27">
                  <c:v>0.72006970935032832</c:v>
                </c:pt>
                <c:pt idx="28">
                  <c:v>0.74716997148858233</c:v>
                </c:pt>
                <c:pt idx="29">
                  <c:v>0.77430750996716635</c:v>
                </c:pt>
                <c:pt idx="30">
                  <c:v>0.80148231563776406</c:v>
                </c:pt>
                <c:pt idx="31">
                  <c:v>0.8286943793859064</c:v>
                </c:pt>
                <c:pt idx="32">
                  <c:v>0.8559436921309389</c:v>
                </c:pt>
                <c:pt idx="33">
                  <c:v>0.88323024482599211</c:v>
                </c:pt>
                <c:pt idx="34">
                  <c:v>0.9105540284579493</c:v>
                </c:pt>
                <c:pt idx="35">
                  <c:v>0.93791503404741594</c:v>
                </c:pt>
                <c:pt idx="36">
                  <c:v>0.96531325264868917</c:v>
                </c:pt>
                <c:pt idx="37">
                  <c:v>0.99274867534972655</c:v>
                </c:pt>
                <c:pt idx="38">
                  <c:v>1.0202212932721155</c:v>
                </c:pt>
                <c:pt idx="39">
                  <c:v>1.0477310975710428</c:v>
                </c:pt>
                <c:pt idx="40">
                  <c:v>1.0752780794352639</c:v>
                </c:pt>
                <c:pt idx="41">
                  <c:v>1.1028622300870718</c:v>
                </c:pt>
                <c:pt idx="42">
                  <c:v>1.1304835407822698</c:v>
                </c:pt>
                <c:pt idx="43">
                  <c:v>1.1581420028101355</c:v>
                </c:pt>
                <c:pt idx="44">
                  <c:v>1.1858376074933963</c:v>
                </c:pt>
                <c:pt idx="45">
                  <c:v>1.213570346188197</c:v>
                </c:pt>
                <c:pt idx="46">
                  <c:v>1.2413402102840683</c:v>
                </c:pt>
                <c:pt idx="47">
                  <c:v>1.2691471912039001</c:v>
                </c:pt>
                <c:pt idx="48">
                  <c:v>1.2969912804039085</c:v>
                </c:pt>
                <c:pt idx="49">
                  <c:v>1.3248724693736078</c:v>
                </c:pt>
                <c:pt idx="50">
                  <c:v>1.3527907496357821</c:v>
                </c:pt>
                <c:pt idx="51">
                  <c:v>1.3807461127464511</c:v>
                </c:pt>
                <c:pt idx="52">
                  <c:v>1.4087385502948462</c:v>
                </c:pt>
                <c:pt idx="53">
                  <c:v>1.4367680539033776</c:v>
                </c:pt>
                <c:pt idx="54">
                  <c:v>1.4648346152276057</c:v>
                </c:pt>
                <c:pt idx="55">
                  <c:v>1.4929382259562118</c:v>
                </c:pt>
                <c:pt idx="56">
                  <c:v>1.5210788778109703</c:v>
                </c:pt>
                <c:pt idx="57">
                  <c:v>1.5492565625467176</c:v>
                </c:pt>
                <c:pt idx="58">
                  <c:v>1.5774712719513244</c:v>
                </c:pt>
                <c:pt idx="59">
                  <c:v>1.605722997845666</c:v>
                </c:pt>
                <c:pt idx="60">
                  <c:v>1.6340117320835934</c:v>
                </c:pt>
                <c:pt idx="61">
                  <c:v>1.6623374665519071</c:v>
                </c:pt>
                <c:pt idx="62">
                  <c:v>1.6907001931703241</c:v>
                </c:pt>
                <c:pt idx="63">
                  <c:v>1.7190999038914521</c:v>
                </c:pt>
                <c:pt idx="64">
                  <c:v>1.7475365907007616</c:v>
                </c:pt>
                <c:pt idx="65">
                  <c:v>1.7760102456165565</c:v>
                </c:pt>
                <c:pt idx="66">
                  <c:v>1.8045208606899432</c:v>
                </c:pt>
                <c:pt idx="67">
                  <c:v>1.8330684280048077</c:v>
                </c:pt>
                <c:pt idx="68">
                  <c:v>1.8616529396777837</c:v>
                </c:pt>
                <c:pt idx="69">
                  <c:v>1.8902743878582242</c:v>
                </c:pt>
                <c:pt idx="70">
                  <c:v>1.9189327647281766</c:v>
                </c:pt>
                <c:pt idx="71">
                  <c:v>1.9476280625023514</c:v>
                </c:pt>
                <c:pt idx="72">
                  <c:v>1.9763602734280969</c:v>
                </c:pt>
                <c:pt idx="73">
                  <c:v>2.0051293897853695</c:v>
                </c:pt>
                <c:pt idx="74">
                  <c:v>2.0339354038867081</c:v>
                </c:pt>
                <c:pt idx="75">
                  <c:v>2.062778308077204</c:v>
                </c:pt>
                <c:pt idx="76">
                  <c:v>2.0916580947344756</c:v>
                </c:pt>
                <c:pt idx="77">
                  <c:v>2.1205747562686414</c:v>
                </c:pt>
                <c:pt idx="78">
                  <c:v>2.1495282851222877</c:v>
                </c:pt>
                <c:pt idx="79">
                  <c:v>2.1785186737704496</c:v>
                </c:pt>
                <c:pt idx="80">
                  <c:v>2.2075459147205763</c:v>
                </c:pt>
                <c:pt idx="81">
                  <c:v>2.2366100005125076</c:v>
                </c:pt>
                <c:pt idx="82">
                  <c:v>2.2657109237184456</c:v>
                </c:pt>
                <c:pt idx="83">
                  <c:v>2.2948486769429319</c:v>
                </c:pt>
                <c:pt idx="84">
                  <c:v>2.3240232528228124</c:v>
                </c:pt>
                <c:pt idx="85">
                  <c:v>2.3532346440272174</c:v>
                </c:pt>
                <c:pt idx="86">
                  <c:v>2.3824828432575349</c:v>
                </c:pt>
                <c:pt idx="87">
                  <c:v>2.4117678432473788</c:v>
                </c:pt>
                <c:pt idx="88">
                  <c:v>2.441089636762567</c:v>
                </c:pt>
                <c:pt idx="89">
                  <c:v>2.4704482166010937</c:v>
                </c:pt>
                <c:pt idx="90">
                  <c:v>2.4998435755931032</c:v>
                </c:pt>
                <c:pt idx="91">
                  <c:v>2.529275706600862</c:v>
                </c:pt>
                <c:pt idx="92">
                  <c:v>2.5587446025187339</c:v>
                </c:pt>
                <c:pt idx="93">
                  <c:v>2.5882502562731542</c:v>
                </c:pt>
                <c:pt idx="94">
                  <c:v>2.6177926608226048</c:v>
                </c:pt>
                <c:pt idx="95">
                  <c:v>2.6473718091575837</c:v>
                </c:pt>
                <c:pt idx="96">
                  <c:v>2.6769876943005837</c:v>
                </c:pt>
                <c:pt idx="97">
                  <c:v>2.706640309306064</c:v>
                </c:pt>
                <c:pt idx="98">
                  <c:v>2.7363296472604262</c:v>
                </c:pt>
                <c:pt idx="99">
                  <c:v>2.7660557012819886</c:v>
                </c:pt>
                <c:pt idx="100">
                  <c:v>2.7958184645209569</c:v>
                </c:pt>
              </c:numCache>
            </c:numRef>
          </c:yVal>
          <c:smooth val="0"/>
          <c:extLst>
            <c:ext xmlns:c16="http://schemas.microsoft.com/office/drawing/2014/chart" uri="{C3380CC4-5D6E-409C-BE32-E72D297353CC}">
              <c16:uniqueId val="{00000001-F29C-4E96-8ECF-EEB3B170A4EB}"/>
            </c:ext>
          </c:extLst>
        </c:ser>
        <c:dLbls>
          <c:showLegendKey val="0"/>
          <c:showVal val="0"/>
          <c:showCatName val="0"/>
          <c:showSerName val="0"/>
          <c:showPercent val="0"/>
          <c:showBubbleSize val="0"/>
        </c:dLbls>
        <c:axId val="333958144"/>
        <c:axId val="333960320"/>
      </c:scatterChart>
      <c:valAx>
        <c:axId val="333958144"/>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052333022741466"/>
              <c:y val="0.937985266634570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333960320"/>
        <c:crosses val="autoZero"/>
        <c:crossBetween val="midCat"/>
      </c:valAx>
      <c:valAx>
        <c:axId val="3339603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Temperature (</a:t>
                </a:r>
                <a:r>
                  <a:rPr lang="en-US" sz="1100">
                    <a:sym typeface="Symbol"/>
                  </a:rPr>
                  <a:t></a:t>
                </a:r>
                <a:r>
                  <a:rPr lang="en-US" sz="1100"/>
                  <a:t>C)</a:t>
                </a:r>
              </a:p>
            </c:rich>
          </c:tx>
          <c:layout>
            <c:manualLayout>
              <c:xMode val="edge"/>
              <c:yMode val="edge"/>
              <c:x val="1.3813487878384515E-2"/>
              <c:y val="0.40384993295956351"/>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333958144"/>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t"/>
      <c:layout>
        <c:manualLayout>
          <c:xMode val="edge"/>
          <c:yMode val="edge"/>
          <c:x val="0.60965366061085946"/>
          <c:y val="2.0620499360656842E-2"/>
          <c:w val="0.351320840481532"/>
          <c:h val="9.8607526130239626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sz="1200"/>
              <a:t>MOSFET &amp;</a:t>
            </a:r>
            <a:r>
              <a:rPr lang="en-US" sz="1200" baseline="0"/>
              <a:t> Inductor</a:t>
            </a:r>
            <a:r>
              <a:rPr lang="en-US" sz="1200"/>
              <a:t> Power Dissipation</a:t>
            </a:r>
          </a:p>
        </c:rich>
      </c:tx>
      <c:layout>
        <c:manualLayout>
          <c:xMode val="edge"/>
          <c:yMode val="edge"/>
          <c:x val="0.13740051025090394"/>
          <c:y val="4.9059139784946235E-2"/>
        </c:manualLayout>
      </c:layout>
      <c:overlay val="0"/>
      <c:spPr>
        <a:noFill/>
        <a:ln w="25400">
          <a:noFill/>
        </a:ln>
      </c:spPr>
    </c:title>
    <c:autoTitleDeleted val="0"/>
    <c:plotArea>
      <c:layout>
        <c:manualLayout>
          <c:layoutTarget val="inner"/>
          <c:xMode val="edge"/>
          <c:yMode val="edge"/>
          <c:x val="0.10700636942675162"/>
          <c:y val="0.15927440521547717"/>
          <c:w val="0.8471337579617837"/>
          <c:h val="0.70362972493790654"/>
        </c:manualLayout>
      </c:layout>
      <c:scatterChart>
        <c:scatterStyle val="lineMarker"/>
        <c:varyColors val="0"/>
        <c:ser>
          <c:idx val="2"/>
          <c:order val="0"/>
          <c:tx>
            <c:strRef>
              <c:f>'Efficiency Calculations'!$BC$8</c:f>
              <c:strCache>
                <c:ptCount val="1"/>
                <c:pt idx="0">
                  <c:v>Control MOSFET Loss</c:v>
                </c:pt>
              </c:strCache>
            </c:strRef>
          </c:tx>
          <c:spPr>
            <a:ln w="25400">
              <a:solidFill>
                <a:srgbClr val="000080"/>
              </a:solidFill>
              <a:prstDash val="dash"/>
            </a:ln>
          </c:spPr>
          <c:marker>
            <c:symbol val="none"/>
          </c:marker>
          <c:xVal>
            <c:numRef>
              <c:f>'Efficiency Calculations'!$J$9:$J$109</c:f>
              <c:numCache>
                <c:formatCode>0.000</c:formatCode>
                <c:ptCount val="101"/>
                <c:pt idx="0" formatCode="General">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xVal>
          <c:yVal>
            <c:numRef>
              <c:f>'Efficiency Calculations'!$BC$9:$BC$109</c:f>
              <c:numCache>
                <c:formatCode>0.000</c:formatCode>
                <c:ptCount val="101"/>
                <c:pt idx="0">
                  <c:v>1.3678880234526392E-3</c:v>
                </c:pt>
                <c:pt idx="1">
                  <c:v>2.5058547111348455E-3</c:v>
                </c:pt>
                <c:pt idx="2">
                  <c:v>3.6465230845143947E-3</c:v>
                </c:pt>
                <c:pt idx="3">
                  <c:v>4.7898941681804065E-3</c:v>
                </c:pt>
                <c:pt idx="4">
                  <c:v>5.9359689940079886E-3</c:v>
                </c:pt>
                <c:pt idx="5">
                  <c:v>7.0847486011670034E-3</c:v>
                </c:pt>
                <c:pt idx="6">
                  <c:v>8.2362340361308729E-3</c:v>
                </c:pt>
                <c:pt idx="7">
                  <c:v>9.3904263526854471E-3</c:v>
                </c:pt>
                <c:pt idx="8">
                  <c:v>1.0547326611937925E-2</c:v>
                </c:pt>
                <c:pt idx="9">
                  <c:v>1.1706935882325816E-2</c:v>
                </c:pt>
                <c:pt idx="10">
                  <c:v>1.7851356093768585E-2</c:v>
                </c:pt>
                <c:pt idx="11">
                  <c:v>2.654047195603965E-2</c:v>
                </c:pt>
                <c:pt idx="12">
                  <c:v>3.5193153545951664E-2</c:v>
                </c:pt>
                <c:pt idx="13">
                  <c:v>4.3809411517386418E-2</c:v>
                </c:pt>
                <c:pt idx="14">
                  <c:v>5.2389256429311255E-2</c:v>
                </c:pt>
                <c:pt idx="15">
                  <c:v>6.0932698745769412E-2</c:v>
                </c:pt>
                <c:pt idx="16">
                  <c:v>6.9439748835869924E-2</c:v>
                </c:pt>
                <c:pt idx="17">
                  <c:v>7.7910416973776847E-2</c:v>
                </c:pt>
                <c:pt idx="18">
                  <c:v>8.6344713338698101E-2</c:v>
                </c:pt>
                <c:pt idx="19">
                  <c:v>9.4742648014873282E-2</c:v>
                </c:pt>
                <c:pt idx="20">
                  <c:v>0.10276972792848101</c:v>
                </c:pt>
                <c:pt idx="21">
                  <c:v>0.10402225792701139</c:v>
                </c:pt>
                <c:pt idx="22">
                  <c:v>0.10527754839503732</c:v>
                </c:pt>
                <c:pt idx="23">
                  <c:v>0.10653560060000465</c:v>
                </c:pt>
                <c:pt idx="24">
                  <c:v>0.10779641581696971</c:v>
                </c:pt>
                <c:pt idx="25">
                  <c:v>0.1090599953286096</c:v>
                </c:pt>
                <c:pt idx="26">
                  <c:v>0.11032634042523262</c:v>
                </c:pt>
                <c:pt idx="27">
                  <c:v>0.11159545240478863</c:v>
                </c:pt>
                <c:pt idx="28">
                  <c:v>0.11286733257287952</c:v>
                </c:pt>
                <c:pt idx="29">
                  <c:v>0.11414198224276989</c:v>
                </c:pt>
                <c:pt idx="30">
                  <c:v>0.11541940273539741</c:v>
                </c:pt>
                <c:pt idx="31">
                  <c:v>0.11669959537938368</c:v>
                </c:pt>
                <c:pt idx="32">
                  <c:v>0.11798256151104486</c:v>
                </c:pt>
                <c:pt idx="33">
                  <c:v>0.11926830247440241</c:v>
                </c:pt>
                <c:pt idx="34">
                  <c:v>0.12055681962119395</c:v>
                </c:pt>
                <c:pt idx="35">
                  <c:v>0.12184811431088416</c:v>
                </c:pt>
                <c:pt idx="36">
                  <c:v>0.12314218791067559</c:v>
                </c:pt>
                <c:pt idx="37">
                  <c:v>0.12443904179551987</c:v>
                </c:pt>
                <c:pt idx="38">
                  <c:v>0.12573867734812855</c:v>
                </c:pt>
                <c:pt idx="39">
                  <c:v>0.12704109595898433</c:v>
                </c:pt>
                <c:pt idx="40">
                  <c:v>0.1283462990263522</c:v>
                </c:pt>
                <c:pt idx="41">
                  <c:v>0.12965428795629058</c:v>
                </c:pt>
                <c:pt idx="42">
                  <c:v>0.13096506416266285</c:v>
                </c:pt>
                <c:pt idx="43">
                  <c:v>0.13227862906714832</c:v>
                </c:pt>
                <c:pt idx="44">
                  <c:v>0.13359498409925399</c:v>
                </c:pt>
                <c:pt idx="45">
                  <c:v>0.1349141306963258</c:v>
                </c:pt>
                <c:pt idx="46">
                  <c:v>0.13623607030356016</c:v>
                </c:pt>
                <c:pt idx="47">
                  <c:v>0.13756080437401558</c:v>
                </c:pt>
                <c:pt idx="48">
                  <c:v>0.1388883343686243</c:v>
                </c:pt>
                <c:pt idx="49">
                  <c:v>0.14021866175620396</c:v>
                </c:pt>
                <c:pt idx="50">
                  <c:v>0.14155178801346935</c:v>
                </c:pt>
                <c:pt idx="51">
                  <c:v>0.14288771462504427</c:v>
                </c:pt>
                <c:pt idx="52">
                  <c:v>0.14422644308347332</c:v>
                </c:pt>
                <c:pt idx="53">
                  <c:v>0.14556797488923398</c:v>
                </c:pt>
                <c:pt idx="54">
                  <c:v>0.14691231155074838</c:v>
                </c:pt>
                <c:pt idx="55">
                  <c:v>0.14825945458439549</c:v>
                </c:pt>
                <c:pt idx="56">
                  <c:v>0.14960940551452334</c:v>
                </c:pt>
                <c:pt idx="57">
                  <c:v>0.15096216587346092</c:v>
                </c:pt>
                <c:pt idx="58">
                  <c:v>0.15231773720153069</c:v>
                </c:pt>
                <c:pt idx="59">
                  <c:v>0.15367612104706069</c:v>
                </c:pt>
                <c:pt idx="60">
                  <c:v>0.15503731896639691</c:v>
                </c:pt>
                <c:pt idx="61">
                  <c:v>0.15640133252391589</c:v>
                </c:pt>
                <c:pt idx="62">
                  <c:v>0.15776816329203694</c:v>
                </c:pt>
                <c:pt idx="63">
                  <c:v>0.15913781285123485</c:v>
                </c:pt>
                <c:pt idx="64">
                  <c:v>0.16051028279005244</c:v>
                </c:pt>
                <c:pt idx="65">
                  <c:v>0.16188557470511328</c:v>
                </c:pt>
                <c:pt idx="66">
                  <c:v>0.16326369020113429</c:v>
                </c:pt>
                <c:pt idx="67">
                  <c:v>0.16464463089093864</c:v>
                </c:pt>
                <c:pt idx="68">
                  <c:v>0.16602839839546862</c:v>
                </c:pt>
                <c:pt idx="69">
                  <c:v>0.16741499434379836</c:v>
                </c:pt>
                <c:pt idx="70">
                  <c:v>0.16880442037314713</c:v>
                </c:pt>
                <c:pt idx="71">
                  <c:v>0.17019667812889203</c:v>
                </c:pt>
                <c:pt idx="72">
                  <c:v>0.17159176926458136</c:v>
                </c:pt>
                <c:pt idx="73">
                  <c:v>0.17298969544194762</c:v>
                </c:pt>
                <c:pt idx="74">
                  <c:v>0.17439045833092087</c:v>
                </c:pt>
                <c:pt idx="75">
                  <c:v>0.1757940596096419</c:v>
                </c:pt>
                <c:pt idx="76">
                  <c:v>0.17720050096447565</c:v>
                </c:pt>
                <c:pt idx="77">
                  <c:v>0.17860978409002476</c:v>
                </c:pt>
                <c:pt idx="78">
                  <c:v>0.18002191068914261</c:v>
                </c:pt>
                <c:pt idx="79">
                  <c:v>0.18143688247294748</c:v>
                </c:pt>
                <c:pt idx="80">
                  <c:v>0.18285470116083577</c:v>
                </c:pt>
                <c:pt idx="81">
                  <c:v>0.18427536848049572</c:v>
                </c:pt>
                <c:pt idx="82">
                  <c:v>0.18569888616792124</c:v>
                </c:pt>
                <c:pt idx="83">
                  <c:v>0.18712525596742577</c:v>
                </c:pt>
                <c:pt idx="84">
                  <c:v>0.18855447963165589</c:v>
                </c:pt>
                <c:pt idx="85">
                  <c:v>0.18998655892160565</c:v>
                </c:pt>
                <c:pt idx="86">
                  <c:v>0.19142149560663024</c:v>
                </c:pt>
                <c:pt idx="87">
                  <c:v>0.19285929146446018</c:v>
                </c:pt>
                <c:pt idx="88">
                  <c:v>0.19429994828121561</c:v>
                </c:pt>
                <c:pt idx="89">
                  <c:v>0.19574346785142022</c:v>
                </c:pt>
                <c:pt idx="90">
                  <c:v>0.19718985197801575</c:v>
                </c:pt>
                <c:pt idx="91">
                  <c:v>0.19863910247237615</c:v>
                </c:pt>
                <c:pt idx="92">
                  <c:v>0.20009122115432212</c:v>
                </c:pt>
                <c:pt idx="93">
                  <c:v>0.20154620985213556</c:v>
                </c:pt>
                <c:pt idx="94">
                  <c:v>0.20300407040257407</c:v>
                </c:pt>
                <c:pt idx="95">
                  <c:v>0.20446480465088562</c:v>
                </c:pt>
                <c:pt idx="96">
                  <c:v>0.20592841445082299</c:v>
                </c:pt>
                <c:pt idx="97">
                  <c:v>0.20739490166465901</c:v>
                </c:pt>
                <c:pt idx="98">
                  <c:v>0.20886426816320081</c:v>
                </c:pt>
                <c:pt idx="99">
                  <c:v>0.21033651582580506</c:v>
                </c:pt>
                <c:pt idx="100">
                  <c:v>0.21181164654039286</c:v>
                </c:pt>
              </c:numCache>
            </c:numRef>
          </c:yVal>
          <c:smooth val="0"/>
          <c:extLst>
            <c:ext xmlns:c16="http://schemas.microsoft.com/office/drawing/2014/chart" uri="{C3380CC4-5D6E-409C-BE32-E72D297353CC}">
              <c16:uniqueId val="{00000000-F5FB-42D4-A397-414D6630BC17}"/>
            </c:ext>
          </c:extLst>
        </c:ser>
        <c:ser>
          <c:idx val="3"/>
          <c:order val="1"/>
          <c:tx>
            <c:strRef>
              <c:f>'Efficiency Calculations'!$BD$8</c:f>
              <c:strCache>
                <c:ptCount val="1"/>
                <c:pt idx="0">
                  <c:v>SYNC MOSFET Loss</c:v>
                </c:pt>
              </c:strCache>
            </c:strRef>
          </c:tx>
          <c:spPr>
            <a:ln w="25400">
              <a:solidFill>
                <a:srgbClr val="FF0000"/>
              </a:solidFill>
              <a:prstDash val="solid"/>
            </a:ln>
          </c:spPr>
          <c:marker>
            <c:symbol val="none"/>
          </c:marker>
          <c:xVal>
            <c:numRef>
              <c:f>'Efficiency Calculations'!$J$9:$J$109</c:f>
              <c:numCache>
                <c:formatCode>0.000</c:formatCode>
                <c:ptCount val="101"/>
                <c:pt idx="0" formatCode="General">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xVal>
          <c:yVal>
            <c:numRef>
              <c:f>'Efficiency Calculations'!$BD$9:$BD$109</c:f>
              <c:numCache>
                <c:formatCode>0.000</c:formatCode>
                <c:ptCount val="101"/>
                <c:pt idx="0">
                  <c:v>1.2500991052506786E-3</c:v>
                </c:pt>
                <c:pt idx="1">
                  <c:v>1.8315471359525064E-3</c:v>
                </c:pt>
                <c:pt idx="2">
                  <c:v>2.4139175566613453E-3</c:v>
                </c:pt>
                <c:pt idx="3">
                  <c:v>2.9972100929657654E-3</c:v>
                </c:pt>
                <c:pt idx="4">
                  <c:v>3.5814244713192889E-3</c:v>
                </c:pt>
                <c:pt idx="5">
                  <c:v>4.1665604190395267E-3</c:v>
                </c:pt>
                <c:pt idx="6">
                  <c:v>4.752617664307306E-3</c:v>
                </c:pt>
                <c:pt idx="7">
                  <c:v>5.3395959361658028E-3</c:v>
                </c:pt>
                <c:pt idx="8">
                  <c:v>5.92749496451969E-3</c:v>
                </c:pt>
                <c:pt idx="9">
                  <c:v>6.5163144801342653E-3</c:v>
                </c:pt>
                <c:pt idx="10">
                  <c:v>7.1060542146346006E-3</c:v>
                </c:pt>
                <c:pt idx="11">
                  <c:v>7.6967139005046821E-3</c:v>
                </c:pt>
                <c:pt idx="12">
                  <c:v>8.2882932710865598E-3</c:v>
                </c:pt>
                <c:pt idx="13">
                  <c:v>8.8807920605794965E-3</c:v>
                </c:pt>
                <c:pt idx="14">
                  <c:v>9.4742100040391148E-3</c:v>
                </c:pt>
                <c:pt idx="15">
                  <c:v>1.0068546837376558E-2</c:v>
                </c:pt>
                <c:pt idx="16">
                  <c:v>1.0663802297357635E-2</c:v>
                </c:pt>
                <c:pt idx="17">
                  <c:v>1.125997612160199E-2</c:v>
                </c:pt>
                <c:pt idx="18">
                  <c:v>1.1857068048582253E-2</c:v>
                </c:pt>
                <c:pt idx="19">
                  <c:v>1.2455077817623207E-2</c:v>
                </c:pt>
                <c:pt idx="20">
                  <c:v>1.3056815417509271E-2</c:v>
                </c:pt>
                <c:pt idx="21">
                  <c:v>1.3716251996216474E-2</c:v>
                </c:pt>
                <c:pt idx="22">
                  <c:v>1.4376606052291945E-2</c:v>
                </c:pt>
                <c:pt idx="23">
                  <c:v>1.5037877355118386E-2</c:v>
                </c:pt>
                <c:pt idx="24">
                  <c:v>1.5700065674915546E-2</c:v>
                </c:pt>
                <c:pt idx="25">
                  <c:v>1.6363170782739429E-2</c:v>
                </c:pt>
                <c:pt idx="26">
                  <c:v>1.702719245048152E-2</c:v>
                </c:pt>
                <c:pt idx="27">
                  <c:v>1.7692130450868017E-2</c:v>
                </c:pt>
                <c:pt idx="28">
                  <c:v>1.8357984557459024E-2</c:v>
                </c:pt>
                <c:pt idx="29">
                  <c:v>1.9024754544647821E-2</c:v>
                </c:pt>
                <c:pt idx="30">
                  <c:v>1.9692440187660049E-2</c:v>
                </c:pt>
                <c:pt idx="31">
                  <c:v>2.0361041262552983E-2</c:v>
                </c:pt>
                <c:pt idx="32">
                  <c:v>2.1030557546214714E-2</c:v>
                </c:pt>
                <c:pt idx="33">
                  <c:v>2.170098881636344E-2</c:v>
                </c:pt>
                <c:pt idx="34">
                  <c:v>2.2372334851546664E-2</c:v>
                </c:pt>
                <c:pt idx="35">
                  <c:v>2.304459543114044E-2</c:v>
                </c:pt>
                <c:pt idx="36">
                  <c:v>2.3717770335348626E-2</c:v>
                </c:pt>
                <c:pt idx="37">
                  <c:v>2.4391859345202126E-2</c:v>
                </c:pt>
                <c:pt idx="38">
                  <c:v>2.5066862242558118E-2</c:v>
                </c:pt>
                <c:pt idx="39">
                  <c:v>2.5742778810099329E-2</c:v>
                </c:pt>
                <c:pt idx="40">
                  <c:v>2.6419608831333263E-2</c:v>
                </c:pt>
                <c:pt idx="41">
                  <c:v>2.7097352090591446E-2</c:v>
                </c:pt>
                <c:pt idx="42">
                  <c:v>2.7776008373028738E-2</c:v>
                </c:pt>
                <c:pt idx="43">
                  <c:v>2.8455577464622489E-2</c:v>
                </c:pt>
                <c:pt idx="44">
                  <c:v>2.9136059152171899E-2</c:v>
                </c:pt>
                <c:pt idx="45">
                  <c:v>2.9817453223297222E-2</c:v>
                </c:pt>
                <c:pt idx="46">
                  <c:v>3.0499759466439024E-2</c:v>
                </c:pt>
                <c:pt idx="47">
                  <c:v>3.1182977670857492E-2</c:v>
                </c:pt>
                <c:pt idx="48">
                  <c:v>3.1867107626631655E-2</c:v>
                </c:pt>
                <c:pt idx="49">
                  <c:v>3.2552149124658668E-2</c:v>
                </c:pt>
                <c:pt idx="50">
                  <c:v>3.3238101956653117E-2</c:v>
                </c:pt>
                <c:pt idx="51">
                  <c:v>3.3924965915146217E-2</c:v>
                </c:pt>
                <c:pt idx="52">
                  <c:v>3.4612740793485162E-2</c:v>
                </c:pt>
                <c:pt idx="53">
                  <c:v>3.530142638583237E-2</c:v>
                </c:pt>
                <c:pt idx="54">
                  <c:v>3.5991022487164757E-2</c:v>
                </c:pt>
                <c:pt idx="55">
                  <c:v>3.6681528893273016E-2</c:v>
                </c:pt>
                <c:pt idx="56">
                  <c:v>3.7372945400760936E-2</c:v>
                </c:pt>
                <c:pt idx="57">
                  <c:v>3.8065271807044658E-2</c:v>
                </c:pt>
                <c:pt idx="58">
                  <c:v>3.8758507910351951E-2</c:v>
                </c:pt>
                <c:pt idx="59">
                  <c:v>3.9452653509721519E-2</c:v>
                </c:pt>
                <c:pt idx="60">
                  <c:v>4.0147708405002293E-2</c:v>
                </c:pt>
                <c:pt idx="61">
                  <c:v>4.084367239685275E-2</c:v>
                </c:pt>
                <c:pt idx="62">
                  <c:v>4.1540545286740144E-2</c:v>
                </c:pt>
                <c:pt idx="63">
                  <c:v>4.2238326876939854E-2</c:v>
                </c:pt>
                <c:pt idx="64">
                  <c:v>4.2937016970534682E-2</c:v>
                </c:pt>
                <c:pt idx="65">
                  <c:v>4.363661537141416E-2</c:v>
                </c:pt>
                <c:pt idx="66">
                  <c:v>4.4337121884273786E-2</c:v>
                </c:pt>
                <c:pt idx="67">
                  <c:v>4.5038536314614436E-2</c:v>
                </c:pt>
                <c:pt idx="68">
                  <c:v>4.574085846874161E-2</c:v>
                </c:pt>
                <c:pt idx="69">
                  <c:v>4.6444088153764718E-2</c:v>
                </c:pt>
                <c:pt idx="70">
                  <c:v>4.7148225177596474E-2</c:v>
                </c:pt>
                <c:pt idx="71">
                  <c:v>4.7853269348952121E-2</c:v>
                </c:pt>
                <c:pt idx="72">
                  <c:v>4.8559220477348813E-2</c:v>
                </c:pt>
                <c:pt idx="73">
                  <c:v>4.9266078373104899E-2</c:v>
                </c:pt>
                <c:pt idx="74">
                  <c:v>4.9973842847339259E-2</c:v>
                </c:pt>
                <c:pt idx="75">
                  <c:v>5.0682513711970606E-2</c:v>
                </c:pt>
                <c:pt idx="76">
                  <c:v>5.1392090779716841E-2</c:v>
                </c:pt>
                <c:pt idx="77">
                  <c:v>5.2102573864094379E-2</c:v>
                </c:pt>
                <c:pt idx="78">
                  <c:v>5.2813962779417384E-2</c:v>
                </c:pt>
                <c:pt idx="79">
                  <c:v>5.3526257340797287E-2</c:v>
                </c:pt>
                <c:pt idx="80">
                  <c:v>5.4239457364141923E-2</c:v>
                </c:pt>
                <c:pt idx="81">
                  <c:v>5.4953562666154976E-2</c:v>
                </c:pt>
                <c:pt idx="82">
                  <c:v>5.5668573064335272E-2</c:v>
                </c:pt>
                <c:pt idx="83">
                  <c:v>5.6384488376976211E-2</c:v>
                </c:pt>
                <c:pt idx="84">
                  <c:v>5.7101308423164923E-2</c:v>
                </c:pt>
                <c:pt idx="85">
                  <c:v>5.7819033022781754E-2</c:v>
                </c:pt>
                <c:pt idx="86">
                  <c:v>5.8537661996499624E-2</c:v>
                </c:pt>
                <c:pt idx="87">
                  <c:v>5.9257195165783254E-2</c:v>
                </c:pt>
                <c:pt idx="88">
                  <c:v>5.9977632352888624E-2</c:v>
                </c:pt>
                <c:pt idx="89">
                  <c:v>6.0698973380862248E-2</c:v>
                </c:pt>
                <c:pt idx="90">
                  <c:v>6.1421218073540618E-2</c:v>
                </c:pt>
                <c:pt idx="91">
                  <c:v>6.2144366255549428E-2</c:v>
                </c:pt>
                <c:pt idx="92">
                  <c:v>6.2868417752303035E-2</c:v>
                </c:pt>
                <c:pt idx="93">
                  <c:v>6.3593372390003788E-2</c:v>
                </c:pt>
                <c:pt idx="94">
                  <c:v>6.4319229995641394E-2</c:v>
                </c:pt>
                <c:pt idx="95">
                  <c:v>6.5045990396992229E-2</c:v>
                </c:pt>
                <c:pt idx="96">
                  <c:v>6.5773653422618761E-2</c:v>
                </c:pt>
                <c:pt idx="97">
                  <c:v>6.6502218901868887E-2</c:v>
                </c:pt>
                <c:pt idx="98">
                  <c:v>6.7231686664875334E-2</c:v>
                </c:pt>
                <c:pt idx="99">
                  <c:v>6.7962056542554994E-2</c:v>
                </c:pt>
                <c:pt idx="100">
                  <c:v>6.8693328366608269E-2</c:v>
                </c:pt>
              </c:numCache>
            </c:numRef>
          </c:yVal>
          <c:smooth val="0"/>
          <c:extLst>
            <c:ext xmlns:c16="http://schemas.microsoft.com/office/drawing/2014/chart" uri="{C3380CC4-5D6E-409C-BE32-E72D297353CC}">
              <c16:uniqueId val="{00000001-F5FB-42D4-A397-414D6630BC17}"/>
            </c:ext>
          </c:extLst>
        </c:ser>
        <c:ser>
          <c:idx val="0"/>
          <c:order val="2"/>
          <c:tx>
            <c:v>Inductor Loss</c:v>
          </c:tx>
          <c:spPr>
            <a:ln w="31750">
              <a:solidFill>
                <a:srgbClr val="FF6600"/>
              </a:solidFill>
              <a:prstDash val="lgDash"/>
            </a:ln>
          </c:spPr>
          <c:marker>
            <c:symbol val="none"/>
          </c:marker>
          <c:xVal>
            <c:numRef>
              <c:f>'Efficiency Calculations'!$J$9:$J$109</c:f>
              <c:numCache>
                <c:formatCode>0.000</c:formatCode>
                <c:ptCount val="101"/>
                <c:pt idx="0" formatCode="General">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xVal>
          <c:yVal>
            <c:numRef>
              <c:f>'Efficiency Calculations'!$U$9:$U$109</c:f>
              <c:numCache>
                <c:formatCode>0.000</c:formatCode>
                <c:ptCount val="101"/>
                <c:pt idx="0">
                  <c:v>0.20010601492232918</c:v>
                </c:pt>
                <c:pt idx="1">
                  <c:v>0.2001068232736844</c:v>
                </c:pt>
                <c:pt idx="2">
                  <c:v>0.20010923184771989</c:v>
                </c:pt>
                <c:pt idx="3">
                  <c:v>0.2001132406462566</c:v>
                </c:pt>
                <c:pt idx="4">
                  <c:v>0.20011884967232521</c:v>
                </c:pt>
                <c:pt idx="5">
                  <c:v>0.20012605893016613</c:v>
                </c:pt>
                <c:pt idx="6">
                  <c:v>0.20013486842522968</c:v>
                </c:pt>
                <c:pt idx="7">
                  <c:v>0.20014527816417582</c:v>
                </c:pt>
                <c:pt idx="8">
                  <c:v>0.20015728815487449</c:v>
                </c:pt>
                <c:pt idx="9">
                  <c:v>0.20017089840640537</c:v>
                </c:pt>
                <c:pt idx="10">
                  <c:v>0.20018610892905803</c:v>
                </c:pt>
                <c:pt idx="11">
                  <c:v>0.20020291973433191</c:v>
                </c:pt>
                <c:pt idx="12">
                  <c:v>0.20022133083493626</c:v>
                </c:pt>
                <c:pt idx="13">
                  <c:v>0.20024134224479032</c:v>
                </c:pt>
                <c:pt idx="14">
                  <c:v>0.20026295397902327</c:v>
                </c:pt>
                <c:pt idx="15">
                  <c:v>0.20028616605397423</c:v>
                </c:pt>
                <c:pt idx="16">
                  <c:v>0.20031097848719234</c:v>
                </c:pt>
                <c:pt idx="17">
                  <c:v>0.20033739129743675</c:v>
                </c:pt>
                <c:pt idx="18">
                  <c:v>0.20036540450467669</c:v>
                </c:pt>
                <c:pt idx="19">
                  <c:v>0.2003950181300915</c:v>
                </c:pt>
                <c:pt idx="20">
                  <c:v>0.20042623219607064</c:v>
                </c:pt>
                <c:pt idx="21">
                  <c:v>0.20045904672621384</c:v>
                </c:pt>
                <c:pt idx="22">
                  <c:v>0.20049346174533095</c:v>
                </c:pt>
                <c:pt idx="23">
                  <c:v>0.20052947727944215</c:v>
                </c:pt>
                <c:pt idx="24">
                  <c:v>0.20056709335577796</c:v>
                </c:pt>
                <c:pt idx="25">
                  <c:v>0.20060631000277934</c:v>
                </c:pt>
                <c:pt idx="26">
                  <c:v>0.20064712725009751</c:v>
                </c:pt>
                <c:pt idx="27">
                  <c:v>0.2006895451285943</c:v>
                </c:pt>
                <c:pt idx="28">
                  <c:v>0.20073356367034215</c:v>
                </c:pt>
                <c:pt idx="29">
                  <c:v>0.20077918290862395</c:v>
                </c:pt>
                <c:pt idx="30">
                  <c:v>0.20082640287793338</c:v>
                </c:pt>
                <c:pt idx="31">
                  <c:v>0.20087522361397481</c:v>
                </c:pt>
                <c:pt idx="32">
                  <c:v>0.20092564515366343</c:v>
                </c:pt>
                <c:pt idx="33">
                  <c:v>0.20097766753512533</c:v>
                </c:pt>
                <c:pt idx="34">
                  <c:v>0.20103129079769747</c:v>
                </c:pt>
                <c:pt idx="35">
                  <c:v>0.20108651498192789</c:v>
                </c:pt>
                <c:pt idx="36">
                  <c:v>0.20114334012957572</c:v>
                </c:pt>
                <c:pt idx="37">
                  <c:v>0.20120176628361128</c:v>
                </c:pt>
                <c:pt idx="38">
                  <c:v>0.2012617934882161</c:v>
                </c:pt>
                <c:pt idx="39">
                  <c:v>0.2013234217887831</c:v>
                </c:pt>
                <c:pt idx="40">
                  <c:v>0.20138665123191657</c:v>
                </c:pt>
                <c:pt idx="41">
                  <c:v>0.20145148186543241</c:v>
                </c:pt>
                <c:pt idx="42">
                  <c:v>0.20151791373835803</c:v>
                </c:pt>
                <c:pt idx="43">
                  <c:v>0.20158594690093259</c:v>
                </c:pt>
                <c:pt idx="44">
                  <c:v>0.20165558140460701</c:v>
                </c:pt>
                <c:pt idx="45">
                  <c:v>0.20172681730204417</c:v>
                </c:pt>
                <c:pt idx="46">
                  <c:v>0.20179965464711883</c:v>
                </c:pt>
                <c:pt idx="47">
                  <c:v>0.20187409349491792</c:v>
                </c:pt>
                <c:pt idx="48">
                  <c:v>0.20195013390174057</c:v>
                </c:pt>
                <c:pt idx="49">
                  <c:v>0.20202777592509819</c:v>
                </c:pt>
                <c:pt idx="50">
                  <c:v>0.20210701962371458</c:v>
                </c:pt>
                <c:pt idx="51">
                  <c:v>0.20218786505752609</c:v>
                </c:pt>
                <c:pt idx="52">
                  <c:v>0.20227031228768169</c:v>
                </c:pt>
                <c:pt idx="53">
                  <c:v>0.20235436137654317</c:v>
                </c:pt>
                <c:pt idx="54">
                  <c:v>0.20244001238768508</c:v>
                </c:pt>
                <c:pt idx="55">
                  <c:v>0.20252726538589499</c:v>
                </c:pt>
                <c:pt idx="56">
                  <c:v>0.20261612043717367</c:v>
                </c:pt>
                <c:pt idx="57">
                  <c:v>0.20270657760873501</c:v>
                </c:pt>
                <c:pt idx="58">
                  <c:v>0.20279863696900632</c:v>
                </c:pt>
                <c:pt idx="59">
                  <c:v>0.20289229858762844</c:v>
                </c:pt>
                <c:pt idx="60">
                  <c:v>0.20298756253545577</c:v>
                </c:pt>
                <c:pt idx="61">
                  <c:v>0.20308442888455647</c:v>
                </c:pt>
                <c:pt idx="62">
                  <c:v>0.20318289770821266</c:v>
                </c:pt>
                <c:pt idx="63">
                  <c:v>0.20328296908092042</c:v>
                </c:pt>
                <c:pt idx="64">
                  <c:v>0.20338464307839005</c:v>
                </c:pt>
                <c:pt idx="65">
                  <c:v>0.20348791977754618</c:v>
                </c:pt>
                <c:pt idx="66">
                  <c:v>0.20359279925652787</c:v>
                </c:pt>
                <c:pt idx="67">
                  <c:v>0.20369928159468875</c:v>
                </c:pt>
                <c:pt idx="68">
                  <c:v>0.20380736687259737</c:v>
                </c:pt>
                <c:pt idx="69">
                  <c:v>0.20391705517203698</c:v>
                </c:pt>
                <c:pt idx="70">
                  <c:v>0.2040283465760061</c:v>
                </c:pt>
                <c:pt idx="71">
                  <c:v>0.20414124116871837</c:v>
                </c:pt>
                <c:pt idx="72">
                  <c:v>0.20425573903560279</c:v>
                </c:pt>
                <c:pt idx="73">
                  <c:v>0.20437184026330399</c:v>
                </c:pt>
                <c:pt idx="74">
                  <c:v>0.20448954493968227</c:v>
                </c:pt>
                <c:pt idx="75">
                  <c:v>0.2046088531538138</c:v>
                </c:pt>
                <c:pt idx="76">
                  <c:v>0.20472976499599074</c:v>
                </c:pt>
                <c:pt idx="77">
                  <c:v>0.20485228055772167</c:v>
                </c:pt>
                <c:pt idx="78">
                  <c:v>0.20497639993173133</c:v>
                </c:pt>
                <c:pt idx="79">
                  <c:v>0.20510212321196114</c:v>
                </c:pt>
                <c:pt idx="80">
                  <c:v>0.20522945049356925</c:v>
                </c:pt>
                <c:pt idx="81">
                  <c:v>0.20535838187293073</c:v>
                </c:pt>
                <c:pt idx="82">
                  <c:v>0.20548891744763775</c:v>
                </c:pt>
                <c:pt idx="83">
                  <c:v>0.20562105731649977</c:v>
                </c:pt>
                <c:pt idx="84">
                  <c:v>0.20575480157954373</c:v>
                </c:pt>
                <c:pt idx="85">
                  <c:v>0.20589015033801428</c:v>
                </c:pt>
                <c:pt idx="86">
                  <c:v>0.20602710369437385</c:v>
                </c:pt>
                <c:pt idx="87">
                  <c:v>0.20616566175230297</c:v>
                </c:pt>
                <c:pt idx="88">
                  <c:v>0.20630582461670044</c:v>
                </c:pt>
                <c:pt idx="89">
                  <c:v>0.20644759239368343</c:v>
                </c:pt>
                <c:pt idx="90">
                  <c:v>0.20659096519058789</c:v>
                </c:pt>
                <c:pt idx="91">
                  <c:v>0.20673594311596849</c:v>
                </c:pt>
                <c:pt idx="92">
                  <c:v>0.20688252627959905</c:v>
                </c:pt>
                <c:pt idx="93">
                  <c:v>0.20703071479247262</c:v>
                </c:pt>
                <c:pt idx="94">
                  <c:v>0.20718050876680166</c:v>
                </c:pt>
                <c:pt idx="95">
                  <c:v>0.2073319083160185</c:v>
                </c:pt>
                <c:pt idx="96">
                  <c:v>0.20748491355477514</c:v>
                </c:pt>
                <c:pt idx="97">
                  <c:v>0.20763952459894394</c:v>
                </c:pt>
                <c:pt idx="98">
                  <c:v>0.20779574156561739</c:v>
                </c:pt>
                <c:pt idx="99">
                  <c:v>0.20795356457310868</c:v>
                </c:pt>
                <c:pt idx="100">
                  <c:v>0.20811299374095174</c:v>
                </c:pt>
              </c:numCache>
            </c:numRef>
          </c:yVal>
          <c:smooth val="0"/>
          <c:extLst>
            <c:ext xmlns:c16="http://schemas.microsoft.com/office/drawing/2014/chart" uri="{C3380CC4-5D6E-409C-BE32-E72D297353CC}">
              <c16:uniqueId val="{00000002-F5FB-42D4-A397-414D6630BC17}"/>
            </c:ext>
          </c:extLst>
        </c:ser>
        <c:dLbls>
          <c:showLegendKey val="0"/>
          <c:showVal val="0"/>
          <c:showCatName val="0"/>
          <c:showSerName val="0"/>
          <c:showPercent val="0"/>
          <c:showBubbleSize val="0"/>
        </c:dLbls>
        <c:axId val="334025088"/>
        <c:axId val="334027008"/>
      </c:scatterChart>
      <c:valAx>
        <c:axId val="334025088"/>
        <c:scaling>
          <c:orientation val="minMax"/>
          <c:min val="0"/>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7898089171975511"/>
              <c:y val="0.9254040724748199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334027008"/>
        <c:crosses val="autoZero"/>
        <c:crossBetween val="midCat"/>
      </c:valAx>
      <c:valAx>
        <c:axId val="334027008"/>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sz="1100"/>
                  <a:t>Power Disipation (W)</a:t>
                </a:r>
              </a:p>
            </c:rich>
          </c:tx>
          <c:layout>
            <c:manualLayout>
              <c:xMode val="edge"/>
              <c:yMode val="edge"/>
              <c:x val="1.9108297737292643E-2"/>
              <c:y val="0.3461025738718144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334025088"/>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62383745388469802"/>
          <c:y val="1.0080645161290322E-2"/>
          <c:w val="0.35068494759833341"/>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Arial"/>
                <a:ea typeface="Arial"/>
                <a:cs typeface="Arial"/>
              </a:defRPr>
            </a:pPr>
            <a:r>
              <a:rPr lang="en-US" sz="1600"/>
              <a:t> Overall Efficiency</a:t>
            </a:r>
          </a:p>
        </c:rich>
      </c:tx>
      <c:layout>
        <c:manualLayout>
          <c:xMode val="edge"/>
          <c:yMode val="edge"/>
          <c:x val="0.41192468827576156"/>
          <c:y val="3.0241935483871822E-2"/>
        </c:manualLayout>
      </c:layout>
      <c:overlay val="0"/>
      <c:spPr>
        <a:noFill/>
        <a:ln w="25400">
          <a:noFill/>
        </a:ln>
      </c:spPr>
    </c:title>
    <c:autoTitleDeleted val="0"/>
    <c:plotArea>
      <c:layout>
        <c:manualLayout>
          <c:layoutTarget val="inner"/>
          <c:xMode val="edge"/>
          <c:yMode val="edge"/>
          <c:x val="0.10474102129638858"/>
          <c:y val="0.15927435034411094"/>
          <c:w val="0.85384629851107507"/>
          <c:h val="0.72983942815910108"/>
        </c:manualLayout>
      </c:layout>
      <c:scatterChart>
        <c:scatterStyle val="lineMarker"/>
        <c:varyColors val="0"/>
        <c:ser>
          <c:idx val="0"/>
          <c:order val="0"/>
          <c:tx>
            <c:v>Efficiency</c:v>
          </c:tx>
          <c:spPr>
            <a:ln w="25400">
              <a:solidFill>
                <a:srgbClr val="000080"/>
              </a:solidFill>
              <a:prstDash val="solid"/>
            </a:ln>
          </c:spPr>
          <c:marker>
            <c:symbol val="none"/>
          </c:marker>
          <c:xVal>
            <c:numRef>
              <c:f>'Efficiency Calculations'!$J$9:$J$109</c:f>
              <c:numCache>
                <c:formatCode>0.000</c:formatCode>
                <c:ptCount val="101"/>
                <c:pt idx="0" formatCode="General">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xVal>
          <c:yVal>
            <c:numRef>
              <c:f>'Efficiency Calculations'!$AV$9:$AV$109</c:f>
              <c:numCache>
                <c:formatCode>0.0%</c:formatCode>
                <c:ptCount val="101"/>
                <c:pt idx="0">
                  <c:v>0</c:v>
                </c:pt>
                <c:pt idx="1">
                  <c:v>0.15379875789411046</c:v>
                </c:pt>
                <c:pt idx="2">
                  <c:v>0.26525428170517962</c:v>
                </c:pt>
                <c:pt idx="3">
                  <c:v>0.34972364958535807</c:v>
                </c:pt>
                <c:pt idx="4">
                  <c:v>0.41593861611409899</c:v>
                </c:pt>
                <c:pt idx="5">
                  <c:v>0.4692306355843352</c:v>
                </c:pt>
                <c:pt idx="6">
                  <c:v>0.5130391910981229</c:v>
                </c:pt>
                <c:pt idx="7">
                  <c:v>0.54968265932172211</c:v>
                </c:pt>
                <c:pt idx="8">
                  <c:v>0.58078067634945174</c:v>
                </c:pt>
                <c:pt idx="9">
                  <c:v>0.60749893627459073</c:v>
                </c:pt>
                <c:pt idx="10">
                  <c:v>0.62671947331783895</c:v>
                </c:pt>
                <c:pt idx="11">
                  <c:v>0.64143486595226562</c:v>
                </c:pt>
                <c:pt idx="12">
                  <c:v>0.65425235338462162</c:v>
                </c:pt>
                <c:pt idx="13">
                  <c:v>0.66552041759696812</c:v>
                </c:pt>
                <c:pt idx="14">
                  <c:v>0.67550714671510981</c:v>
                </c:pt>
                <c:pt idx="15">
                  <c:v>0.68442215416358665</c:v>
                </c:pt>
                <c:pt idx="16">
                  <c:v>0.69243169721968245</c:v>
                </c:pt>
                <c:pt idx="17">
                  <c:v>0.6996693355366983</c:v>
                </c:pt>
                <c:pt idx="18">
                  <c:v>0.70624359271452819</c:v>
                </c:pt>
                <c:pt idx="19">
                  <c:v>0.71224356003433786</c:v>
                </c:pt>
                <c:pt idx="20">
                  <c:v>0.71791570031859686</c:v>
                </c:pt>
                <c:pt idx="21">
                  <c:v>0.72651418076937824</c:v>
                </c:pt>
                <c:pt idx="22">
                  <c:v>0.73450343726006584</c:v>
                </c:pt>
                <c:pt idx="23">
                  <c:v>0.74194494183836246</c:v>
                </c:pt>
                <c:pt idx="24">
                  <c:v>0.7488921659819362</c:v>
                </c:pt>
                <c:pt idx="25">
                  <c:v>0.75539184117131664</c:v>
                </c:pt>
                <c:pt idx="26">
                  <c:v>0.76148498840430323</c:v>
                </c:pt>
                <c:pt idx="27">
                  <c:v>0.76720776459805007</c:v>
                </c:pt>
                <c:pt idx="28">
                  <c:v>0.77259216278189602</c:v>
                </c:pt>
                <c:pt idx="29">
                  <c:v>0.77766659472225463</c:v>
                </c:pt>
                <c:pt idx="30">
                  <c:v>0.78245637838328996</c:v>
                </c:pt>
                <c:pt idx="31">
                  <c:v>0.78698414787727144</c:v>
                </c:pt>
                <c:pt idx="32">
                  <c:v>0.79127019991230252</c:v>
                </c:pt>
                <c:pt idx="33">
                  <c:v>0.79533278792481787</c:v>
                </c:pt>
                <c:pt idx="34">
                  <c:v>0.79918837288707345</c:v>
                </c:pt>
                <c:pt idx="35">
                  <c:v>0.80285183805651128</c:v>
                </c:pt>
                <c:pt idx="36">
                  <c:v>0.80633667357348315</c:v>
                </c:pt>
                <c:pt idx="37">
                  <c:v>0.809655135733374</c:v>
                </c:pt>
                <c:pt idx="38">
                  <c:v>0.81281838489610181</c:v>
                </c:pt>
                <c:pt idx="39">
                  <c:v>0.81583660530274604</c:v>
                </c:pt>
                <c:pt idx="40">
                  <c:v>0.81871910950932902</c:v>
                </c:pt>
                <c:pt idx="41">
                  <c:v>0.82147442969359508</c:v>
                </c:pt>
                <c:pt idx="42">
                  <c:v>0.82411039772030947</c:v>
                </c:pt>
                <c:pt idx="43">
                  <c:v>0.82663421554730998</c:v>
                </c:pt>
                <c:pt idx="44">
                  <c:v>0.82905251730504148</c:v>
                </c:pt>
                <c:pt idx="45">
                  <c:v>0.83137142417621979</c:v>
                </c:pt>
                <c:pt idx="46">
                  <c:v>0.83359659303134781</c:v>
                </c:pt>
                <c:pt idx="47">
                  <c:v>0.83573325963352163</c:v>
                </c:pt>
                <c:pt idx="48">
                  <c:v>0.83778627710706655</c:v>
                </c:pt>
                <c:pt idx="49">
                  <c:v>0.83976015026485362</c:v>
                </c:pt>
                <c:pt idx="50">
                  <c:v>0.84165906630526188</c:v>
                </c:pt>
                <c:pt idx="51">
                  <c:v>0.84348692231895772</c:v>
                </c:pt>
                <c:pt idx="52">
                  <c:v>0.84524734998569628</c:v>
                </c:pt>
                <c:pt idx="53">
                  <c:v>0.84694373779044207</c:v>
                </c:pt>
                <c:pt idx="54">
                  <c:v>0.84857925104471976</c:v>
                </c:pt>
                <c:pt idx="55">
                  <c:v>0.85015684996206331</c:v>
                </c:pt>
                <c:pt idx="56">
                  <c:v>0.85167930600469133</c:v>
                </c:pt>
                <c:pt idx="57">
                  <c:v>0.85314921669127997</c:v>
                </c:pt>
                <c:pt idx="58">
                  <c:v>0.8545690190322478</c:v>
                </c:pt>
                <c:pt idx="59">
                  <c:v>0.85594100173870413</c:v>
                </c:pt>
                <c:pt idx="60">
                  <c:v>0.85726731633369935</c:v>
                </c:pt>
                <c:pt idx="61">
                  <c:v>0.85854998727921816</c:v>
                </c:pt>
                <c:pt idx="62">
                  <c:v>0.85979092121915535</c:v>
                </c:pt>
                <c:pt idx="63">
                  <c:v>0.86099191542701325</c:v>
                </c:pt>
                <c:pt idx="64">
                  <c:v>0.86215466553702191</c:v>
                </c:pt>
                <c:pt idx="65">
                  <c:v>0.86328077262861069</c:v>
                </c:pt>
                <c:pt idx="66">
                  <c:v>0.8643717497264628</c:v>
                </c:pt>
                <c:pt idx="67">
                  <c:v>0.86542902777163633</c:v>
                </c:pt>
                <c:pt idx="68">
                  <c:v>0.86645396111329476</c:v>
                </c:pt>
                <c:pt idx="69">
                  <c:v>0.86744783256535607</c:v>
                </c:pt>
                <c:pt idx="70">
                  <c:v>0.86841185806775067</c:v>
                </c:pt>
                <c:pt idx="71">
                  <c:v>0.86934719098789315</c:v>
                </c:pt>
                <c:pt idx="72">
                  <c:v>0.87025492609435551</c:v>
                </c:pt>
                <c:pt idx="73">
                  <c:v>0.87113610323152191</c:v>
                </c:pt>
                <c:pt idx="74">
                  <c:v>0.87199171072114701</c:v>
                </c:pt>
                <c:pt idx="75">
                  <c:v>0.87282268851420974</c:v>
                </c:pt>
                <c:pt idx="76">
                  <c:v>0.87362993111419207</c:v>
                </c:pt>
                <c:pt idx="77">
                  <c:v>0.87441429029088413</c:v>
                </c:pt>
                <c:pt idx="78">
                  <c:v>0.87517657760202916</c:v>
                </c:pt>
                <c:pt idx="79">
                  <c:v>0.87591756673849008</c:v>
                </c:pt>
                <c:pt idx="80">
                  <c:v>0.8766379957071867</c:v>
                </c:pt>
                <c:pt idx="81">
                  <c:v>0.87733856886474337</c:v>
                </c:pt>
                <c:pt idx="82">
                  <c:v>0.87801995881362616</c:v>
                </c:pt>
                <c:pt idx="83">
                  <c:v>0.87868280817149558</c:v>
                </c:pt>
                <c:pt idx="84">
                  <c:v>0.87932773122355778</c:v>
                </c:pt>
                <c:pt idx="85">
                  <c:v>0.87995531546683825</c:v>
                </c:pt>
                <c:pt idx="86">
                  <c:v>0.88056612305454252</c:v>
                </c:pt>
                <c:pt idx="87">
                  <c:v>0.88116069214795922</c:v>
                </c:pt>
                <c:pt idx="88">
                  <c:v>0.88173953818274076</c:v>
                </c:pt>
                <c:pt idx="89">
                  <c:v>0.88230315505582202</c:v>
                </c:pt>
                <c:pt idx="90">
                  <c:v>0.88285201623871878</c:v>
                </c:pt>
                <c:pt idx="91">
                  <c:v>0.88338657582247893</c:v>
                </c:pt>
                <c:pt idx="92">
                  <c:v>0.88390726949913367</c:v>
                </c:pt>
                <c:pt idx="93">
                  <c:v>0.88441451548410432</c:v>
                </c:pt>
                <c:pt idx="94">
                  <c:v>0.88490871538366656</c:v>
                </c:pt>
                <c:pt idx="95">
                  <c:v>0.88539025501125557</c:v>
                </c:pt>
                <c:pt idx="96">
                  <c:v>0.88585950515609535</c:v>
                </c:pt>
                <c:pt idx="97">
                  <c:v>0.88631682230737052</c:v>
                </c:pt>
                <c:pt idx="98">
                  <c:v>0.88676254933691145</c:v>
                </c:pt>
                <c:pt idx="99">
                  <c:v>0.88719701614313973</c:v>
                </c:pt>
                <c:pt idx="100">
                  <c:v>0.88762054025881421</c:v>
                </c:pt>
              </c:numCache>
            </c:numRef>
          </c:yVal>
          <c:smooth val="0"/>
          <c:extLst>
            <c:ext xmlns:c16="http://schemas.microsoft.com/office/drawing/2014/chart" uri="{C3380CC4-5D6E-409C-BE32-E72D297353CC}">
              <c16:uniqueId val="{00000000-EB57-4071-85DB-21E836E81E4D}"/>
            </c:ext>
          </c:extLst>
        </c:ser>
        <c:dLbls>
          <c:showLegendKey val="0"/>
          <c:showVal val="0"/>
          <c:showCatName val="0"/>
          <c:showSerName val="0"/>
          <c:showPercent val="0"/>
          <c:showBubbleSize val="0"/>
        </c:dLbls>
        <c:axId val="44440576"/>
        <c:axId val="333276288"/>
      </c:scatterChart>
      <c:valAx>
        <c:axId val="44440576"/>
        <c:scaling>
          <c:orientation val="minMax"/>
        </c:scaling>
        <c:delete val="0"/>
        <c:axPos val="b"/>
        <c:majorGridlines/>
        <c:title>
          <c:tx>
            <c:rich>
              <a:bodyPr/>
              <a:lstStyle/>
              <a:p>
                <a:pPr>
                  <a:defRPr sz="1100" b="1" i="0" u="none" strike="noStrike" baseline="0">
                    <a:solidFill>
                      <a:srgbClr val="000000"/>
                    </a:solidFill>
                    <a:latin typeface="Arial"/>
                    <a:ea typeface="Arial"/>
                    <a:cs typeface="Arial"/>
                  </a:defRPr>
                </a:pPr>
                <a:r>
                  <a:rPr lang="en-US" sz="1100" baseline="0"/>
                  <a:t>Output Current (A)</a:t>
                </a:r>
                <a:endParaRPr lang="en-US" sz="1100"/>
              </a:p>
            </c:rich>
          </c:tx>
          <c:layout>
            <c:manualLayout>
              <c:xMode val="edge"/>
              <c:yMode val="edge"/>
              <c:x val="0.4576315442322012"/>
              <c:y val="0.94354923376513422"/>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333276288"/>
        <c:crosses val="autoZero"/>
        <c:crossBetween val="midCat"/>
      </c:valAx>
      <c:valAx>
        <c:axId val="333276288"/>
        <c:scaling>
          <c:orientation val="minMax"/>
          <c:max val="1"/>
          <c:min val="0.70000000000000007"/>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6052E-3"/>
              <c:y val="0.4274197781728969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44440576"/>
        <c:crosses val="autoZero"/>
        <c:crossBetween val="midCat"/>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12700">
          <a:solidFill>
            <a:srgbClr val="808080"/>
          </a:solidFill>
          <a:prstDash val="solid"/>
        </a:ln>
      </c:spPr>
    </c:plotArea>
    <c:legend>
      <c:legendPos val="r"/>
      <c:layout>
        <c:manualLayout>
          <c:xMode val="edge"/>
          <c:yMode val="edge"/>
          <c:x val="0.81417468158588802"/>
          <c:y val="3.6290322580645726E-2"/>
          <c:w val="0.16008127236069711"/>
          <c:h val="4.2338709677419352E-2"/>
        </c:manualLayout>
      </c:layout>
      <c:overlay val="0"/>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numRef>
              <c:f>'Efficiency Calculations'!$J$9:$J$109</c:f>
              <c:numCache>
                <c:formatCode>0.000</c:formatCode>
                <c:ptCount val="101"/>
                <c:pt idx="0" formatCode="General">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cat>
          <c:val>
            <c:numRef>
              <c:f>'Efficiency Calculations'!$AZ$9:$AZ$109</c:f>
              <c:numCache>
                <c:formatCode>0.00</c:formatCode>
                <c:ptCount val="101"/>
                <c:pt idx="0">
                  <c:v>0</c:v>
                </c:pt>
                <c:pt idx="1">
                  <c:v>15.379875789411045</c:v>
                </c:pt>
                <c:pt idx="2">
                  <c:v>26.525428170517962</c:v>
                </c:pt>
                <c:pt idx="3">
                  <c:v>34.972364958535806</c:v>
                </c:pt>
                <c:pt idx="4">
                  <c:v>41.593861611409899</c:v>
                </c:pt>
                <c:pt idx="5">
                  <c:v>46.923063558433519</c:v>
                </c:pt>
                <c:pt idx="6">
                  <c:v>51.303919109812291</c:v>
                </c:pt>
                <c:pt idx="7">
                  <c:v>54.968265932172208</c:v>
                </c:pt>
                <c:pt idx="8">
                  <c:v>58.078067634945171</c:v>
                </c:pt>
                <c:pt idx="9">
                  <c:v>60.749893627459073</c:v>
                </c:pt>
                <c:pt idx="10">
                  <c:v>62.671947331783898</c:v>
                </c:pt>
                <c:pt idx="11">
                  <c:v>64.143486595226562</c:v>
                </c:pt>
                <c:pt idx="12">
                  <c:v>65.425235338462159</c:v>
                </c:pt>
                <c:pt idx="13">
                  <c:v>66.552041759696806</c:v>
                </c:pt>
                <c:pt idx="14">
                  <c:v>67.550714671510974</c:v>
                </c:pt>
                <c:pt idx="15">
                  <c:v>68.442215416358664</c:v>
                </c:pt>
                <c:pt idx="16">
                  <c:v>69.243169721968243</c:v>
                </c:pt>
                <c:pt idx="17">
                  <c:v>69.966933553669833</c:v>
                </c:pt>
                <c:pt idx="18">
                  <c:v>70.624359271452818</c:v>
                </c:pt>
                <c:pt idx="19">
                  <c:v>71.224356003433783</c:v>
                </c:pt>
                <c:pt idx="20">
                  <c:v>71.791570031859692</c:v>
                </c:pt>
                <c:pt idx="21">
                  <c:v>72.65141807693783</c:v>
                </c:pt>
                <c:pt idx="22">
                  <c:v>73.450343726006579</c:v>
                </c:pt>
                <c:pt idx="23">
                  <c:v>74.194494183836241</c:v>
                </c:pt>
                <c:pt idx="24">
                  <c:v>74.889216598193613</c:v>
                </c:pt>
                <c:pt idx="25">
                  <c:v>75.539184117131668</c:v>
                </c:pt>
                <c:pt idx="26">
                  <c:v>76.148498840430321</c:v>
                </c:pt>
                <c:pt idx="27">
                  <c:v>76.720776459805009</c:v>
                </c:pt>
                <c:pt idx="28">
                  <c:v>77.259216278189598</c:v>
                </c:pt>
                <c:pt idx="29">
                  <c:v>77.76665947222547</c:v>
                </c:pt>
                <c:pt idx="30">
                  <c:v>78.245637838329003</c:v>
                </c:pt>
                <c:pt idx="31">
                  <c:v>78.698414787727145</c:v>
                </c:pt>
                <c:pt idx="32">
                  <c:v>79.127019991230256</c:v>
                </c:pt>
                <c:pt idx="33">
                  <c:v>79.533278792481781</c:v>
                </c:pt>
                <c:pt idx="34">
                  <c:v>79.918837288707351</c:v>
                </c:pt>
                <c:pt idx="35">
                  <c:v>80.28518380565113</c:v>
                </c:pt>
                <c:pt idx="36">
                  <c:v>80.633667357348315</c:v>
                </c:pt>
                <c:pt idx="37">
                  <c:v>80.965513573337404</c:v>
                </c:pt>
                <c:pt idx="38">
                  <c:v>81.28183848961018</c:v>
                </c:pt>
                <c:pt idx="39">
                  <c:v>81.583660530274599</c:v>
                </c:pt>
                <c:pt idx="40">
                  <c:v>81.8719109509329</c:v>
                </c:pt>
                <c:pt idx="41">
                  <c:v>82.147442969359503</c:v>
                </c:pt>
                <c:pt idx="42">
                  <c:v>82.411039772030946</c:v>
                </c:pt>
                <c:pt idx="43">
                  <c:v>82.663421554731002</c:v>
                </c:pt>
                <c:pt idx="44">
                  <c:v>82.905251730504148</c:v>
                </c:pt>
                <c:pt idx="45">
                  <c:v>83.137142417621973</c:v>
                </c:pt>
                <c:pt idx="46">
                  <c:v>83.359659303134777</c:v>
                </c:pt>
                <c:pt idx="47">
                  <c:v>83.573325963352161</c:v>
                </c:pt>
                <c:pt idx="48">
                  <c:v>83.778627710706658</c:v>
                </c:pt>
                <c:pt idx="49">
                  <c:v>83.976015026485356</c:v>
                </c:pt>
                <c:pt idx="50">
                  <c:v>84.165906630526194</c:v>
                </c:pt>
                <c:pt idx="51">
                  <c:v>84.348692231895768</c:v>
                </c:pt>
                <c:pt idx="52">
                  <c:v>84.524734998569627</c:v>
                </c:pt>
                <c:pt idx="53">
                  <c:v>84.694373779044213</c:v>
                </c:pt>
                <c:pt idx="54">
                  <c:v>84.857925104471974</c:v>
                </c:pt>
                <c:pt idx="55">
                  <c:v>85.015684996206332</c:v>
                </c:pt>
                <c:pt idx="56">
                  <c:v>85.167930600469134</c:v>
                </c:pt>
                <c:pt idx="57">
                  <c:v>85.314921669127997</c:v>
                </c:pt>
                <c:pt idx="58">
                  <c:v>85.456901903224775</c:v>
                </c:pt>
                <c:pt idx="59">
                  <c:v>85.594100173870416</c:v>
                </c:pt>
                <c:pt idx="60">
                  <c:v>85.726731633369937</c:v>
                </c:pt>
                <c:pt idx="61">
                  <c:v>85.85499872792181</c:v>
                </c:pt>
                <c:pt idx="62">
                  <c:v>85.979092121915528</c:v>
                </c:pt>
                <c:pt idx="63">
                  <c:v>86.09919154270132</c:v>
                </c:pt>
                <c:pt idx="64">
                  <c:v>86.215466553702186</c:v>
                </c:pt>
                <c:pt idx="65">
                  <c:v>86.328077262861072</c:v>
                </c:pt>
                <c:pt idx="66">
                  <c:v>86.437174972646275</c:v>
                </c:pt>
                <c:pt idx="67">
                  <c:v>86.542902777163633</c:v>
                </c:pt>
                <c:pt idx="68">
                  <c:v>86.645396111329475</c:v>
                </c:pt>
                <c:pt idx="69">
                  <c:v>86.744783256535612</c:v>
                </c:pt>
                <c:pt idx="70">
                  <c:v>86.841185806775073</c:v>
                </c:pt>
                <c:pt idx="71">
                  <c:v>86.934719098789316</c:v>
                </c:pt>
                <c:pt idx="72">
                  <c:v>87.025492609435545</c:v>
                </c:pt>
                <c:pt idx="73">
                  <c:v>87.113610323152187</c:v>
                </c:pt>
                <c:pt idx="74">
                  <c:v>87.199171072114694</c:v>
                </c:pt>
                <c:pt idx="75">
                  <c:v>87.28226885142098</c:v>
                </c:pt>
                <c:pt idx="76">
                  <c:v>87.3629931114192</c:v>
                </c:pt>
                <c:pt idx="77">
                  <c:v>87.441429029088411</c:v>
                </c:pt>
                <c:pt idx="78">
                  <c:v>87.517657760202923</c:v>
                </c:pt>
                <c:pt idx="79">
                  <c:v>87.591756673849005</c:v>
                </c:pt>
                <c:pt idx="80">
                  <c:v>87.663799570718666</c:v>
                </c:pt>
                <c:pt idx="81">
                  <c:v>87.733856886474342</c:v>
                </c:pt>
                <c:pt idx="82">
                  <c:v>87.801995881362615</c:v>
                </c:pt>
                <c:pt idx="83">
                  <c:v>87.868280817149554</c:v>
                </c:pt>
                <c:pt idx="84">
                  <c:v>87.932773122355783</c:v>
                </c:pt>
                <c:pt idx="85">
                  <c:v>87.995531546683821</c:v>
                </c:pt>
                <c:pt idx="86">
                  <c:v>88.056612305454252</c:v>
                </c:pt>
                <c:pt idx="87">
                  <c:v>88.116069214795928</c:v>
                </c:pt>
                <c:pt idx="88">
                  <c:v>88.173953818274072</c:v>
                </c:pt>
                <c:pt idx="89">
                  <c:v>88.230315505582197</c:v>
                </c:pt>
                <c:pt idx="90">
                  <c:v>88.285201623871885</c:v>
                </c:pt>
                <c:pt idx="91">
                  <c:v>88.33865758224789</c:v>
                </c:pt>
                <c:pt idx="92">
                  <c:v>88.390726949913372</c:v>
                </c:pt>
                <c:pt idx="93">
                  <c:v>88.441451548410427</c:v>
                </c:pt>
                <c:pt idx="94">
                  <c:v>88.490871538366662</c:v>
                </c:pt>
                <c:pt idx="95">
                  <c:v>88.53902550112555</c:v>
                </c:pt>
                <c:pt idx="96">
                  <c:v>88.585950515609539</c:v>
                </c:pt>
                <c:pt idx="97">
                  <c:v>88.631682230737056</c:v>
                </c:pt>
                <c:pt idx="98">
                  <c:v>88.676254933691141</c:v>
                </c:pt>
                <c:pt idx="99">
                  <c:v>88.719701614313976</c:v>
                </c:pt>
                <c:pt idx="100">
                  <c:v>88.762054025881426</c:v>
                </c:pt>
              </c:numCache>
            </c:numRef>
          </c:val>
          <c:smooth val="0"/>
          <c:extLst>
            <c:ext xmlns:c16="http://schemas.microsoft.com/office/drawing/2014/chart" uri="{C3380CC4-5D6E-409C-BE32-E72D297353CC}">
              <c16:uniqueId val="{00000000-F8E4-4E87-B237-B7C8F7E9CC7F}"/>
            </c:ext>
          </c:extLst>
        </c:ser>
        <c:dLbls>
          <c:showLegendKey val="0"/>
          <c:showVal val="0"/>
          <c:showCatName val="0"/>
          <c:showSerName val="0"/>
          <c:showPercent val="0"/>
          <c:showBubbleSize val="0"/>
        </c:dLbls>
        <c:marker val="1"/>
        <c:smooth val="0"/>
        <c:axId val="44547072"/>
        <c:axId val="44561536"/>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cat>
          <c:val>
            <c:numRef>
              <c:f>'Efficiency Calculations'!$BC$9:$BC$109</c:f>
              <c:numCache>
                <c:formatCode>0.000</c:formatCode>
                <c:ptCount val="101"/>
                <c:pt idx="0">
                  <c:v>1.3678880234526392E-3</c:v>
                </c:pt>
                <c:pt idx="1">
                  <c:v>2.5058547111348455E-3</c:v>
                </c:pt>
                <c:pt idx="2">
                  <c:v>3.6465230845143947E-3</c:v>
                </c:pt>
                <c:pt idx="3">
                  <c:v>4.7898941681804065E-3</c:v>
                </c:pt>
                <c:pt idx="4">
                  <c:v>5.9359689940079886E-3</c:v>
                </c:pt>
                <c:pt idx="5">
                  <c:v>7.0847486011670034E-3</c:v>
                </c:pt>
                <c:pt idx="6">
                  <c:v>8.2362340361308729E-3</c:v>
                </c:pt>
                <c:pt idx="7">
                  <c:v>9.3904263526854471E-3</c:v>
                </c:pt>
                <c:pt idx="8">
                  <c:v>1.0547326611937925E-2</c:v>
                </c:pt>
                <c:pt idx="9">
                  <c:v>1.1706935882325816E-2</c:v>
                </c:pt>
                <c:pt idx="10">
                  <c:v>1.7851356093768585E-2</c:v>
                </c:pt>
                <c:pt idx="11">
                  <c:v>2.654047195603965E-2</c:v>
                </c:pt>
                <c:pt idx="12">
                  <c:v>3.5193153545951664E-2</c:v>
                </c:pt>
                <c:pt idx="13">
                  <c:v>4.3809411517386418E-2</c:v>
                </c:pt>
                <c:pt idx="14">
                  <c:v>5.2389256429311255E-2</c:v>
                </c:pt>
                <c:pt idx="15">
                  <c:v>6.0932698745769412E-2</c:v>
                </c:pt>
                <c:pt idx="16">
                  <c:v>6.9439748835869924E-2</c:v>
                </c:pt>
                <c:pt idx="17">
                  <c:v>7.7910416973776847E-2</c:v>
                </c:pt>
                <c:pt idx="18">
                  <c:v>8.6344713338698101E-2</c:v>
                </c:pt>
                <c:pt idx="19">
                  <c:v>9.4742648014873282E-2</c:v>
                </c:pt>
                <c:pt idx="20">
                  <c:v>0.10276972792848101</c:v>
                </c:pt>
                <c:pt idx="21">
                  <c:v>0.10402225792701139</c:v>
                </c:pt>
                <c:pt idx="22">
                  <c:v>0.10527754839503732</c:v>
                </c:pt>
                <c:pt idx="23">
                  <c:v>0.10653560060000465</c:v>
                </c:pt>
                <c:pt idx="24">
                  <c:v>0.10779641581696971</c:v>
                </c:pt>
                <c:pt idx="25">
                  <c:v>0.1090599953286096</c:v>
                </c:pt>
                <c:pt idx="26">
                  <c:v>0.11032634042523262</c:v>
                </c:pt>
                <c:pt idx="27">
                  <c:v>0.11159545240478863</c:v>
                </c:pt>
                <c:pt idx="28">
                  <c:v>0.11286733257287952</c:v>
                </c:pt>
                <c:pt idx="29">
                  <c:v>0.11414198224276989</c:v>
                </c:pt>
                <c:pt idx="30">
                  <c:v>0.11541940273539741</c:v>
                </c:pt>
                <c:pt idx="31">
                  <c:v>0.11669959537938368</c:v>
                </c:pt>
                <c:pt idx="32">
                  <c:v>0.11798256151104486</c:v>
                </c:pt>
                <c:pt idx="33">
                  <c:v>0.11926830247440241</c:v>
                </c:pt>
                <c:pt idx="34">
                  <c:v>0.12055681962119395</c:v>
                </c:pt>
                <c:pt idx="35">
                  <c:v>0.12184811431088416</c:v>
                </c:pt>
                <c:pt idx="36">
                  <c:v>0.12314218791067559</c:v>
                </c:pt>
                <c:pt idx="37">
                  <c:v>0.12443904179551987</c:v>
                </c:pt>
                <c:pt idx="38">
                  <c:v>0.12573867734812855</c:v>
                </c:pt>
                <c:pt idx="39">
                  <c:v>0.12704109595898433</c:v>
                </c:pt>
                <c:pt idx="40">
                  <c:v>0.1283462990263522</c:v>
                </c:pt>
                <c:pt idx="41">
                  <c:v>0.12965428795629058</c:v>
                </c:pt>
                <c:pt idx="42">
                  <c:v>0.13096506416266285</c:v>
                </c:pt>
                <c:pt idx="43">
                  <c:v>0.13227862906714832</c:v>
                </c:pt>
                <c:pt idx="44">
                  <c:v>0.13359498409925399</c:v>
                </c:pt>
                <c:pt idx="45">
                  <c:v>0.1349141306963258</c:v>
                </c:pt>
                <c:pt idx="46">
                  <c:v>0.13623607030356016</c:v>
                </c:pt>
                <c:pt idx="47">
                  <c:v>0.13756080437401558</c:v>
                </c:pt>
                <c:pt idx="48">
                  <c:v>0.1388883343686243</c:v>
                </c:pt>
                <c:pt idx="49">
                  <c:v>0.14021866175620396</c:v>
                </c:pt>
                <c:pt idx="50">
                  <c:v>0.14155178801346935</c:v>
                </c:pt>
                <c:pt idx="51">
                  <c:v>0.14288771462504427</c:v>
                </c:pt>
                <c:pt idx="52">
                  <c:v>0.14422644308347332</c:v>
                </c:pt>
                <c:pt idx="53">
                  <c:v>0.14556797488923398</c:v>
                </c:pt>
                <c:pt idx="54">
                  <c:v>0.14691231155074838</c:v>
                </c:pt>
                <c:pt idx="55">
                  <c:v>0.14825945458439549</c:v>
                </c:pt>
                <c:pt idx="56">
                  <c:v>0.14960940551452334</c:v>
                </c:pt>
                <c:pt idx="57">
                  <c:v>0.15096216587346092</c:v>
                </c:pt>
                <c:pt idx="58">
                  <c:v>0.15231773720153069</c:v>
                </c:pt>
                <c:pt idx="59">
                  <c:v>0.15367612104706069</c:v>
                </c:pt>
                <c:pt idx="60">
                  <c:v>0.15503731896639691</c:v>
                </c:pt>
                <c:pt idx="61">
                  <c:v>0.15640133252391589</c:v>
                </c:pt>
                <c:pt idx="62">
                  <c:v>0.15776816329203694</c:v>
                </c:pt>
                <c:pt idx="63">
                  <c:v>0.15913781285123485</c:v>
                </c:pt>
                <c:pt idx="64">
                  <c:v>0.16051028279005244</c:v>
                </c:pt>
                <c:pt idx="65">
                  <c:v>0.16188557470511328</c:v>
                </c:pt>
                <c:pt idx="66">
                  <c:v>0.16326369020113429</c:v>
                </c:pt>
                <c:pt idx="67">
                  <c:v>0.16464463089093864</c:v>
                </c:pt>
                <c:pt idx="68">
                  <c:v>0.16602839839546862</c:v>
                </c:pt>
                <c:pt idx="69">
                  <c:v>0.16741499434379836</c:v>
                </c:pt>
                <c:pt idx="70">
                  <c:v>0.16880442037314713</c:v>
                </c:pt>
                <c:pt idx="71">
                  <c:v>0.17019667812889203</c:v>
                </c:pt>
                <c:pt idx="72">
                  <c:v>0.17159176926458136</c:v>
                </c:pt>
                <c:pt idx="73">
                  <c:v>0.17298969544194762</c:v>
                </c:pt>
                <c:pt idx="74">
                  <c:v>0.17439045833092087</c:v>
                </c:pt>
                <c:pt idx="75">
                  <c:v>0.1757940596096419</c:v>
                </c:pt>
                <c:pt idx="76">
                  <c:v>0.17720050096447565</c:v>
                </c:pt>
                <c:pt idx="77">
                  <c:v>0.17860978409002476</c:v>
                </c:pt>
                <c:pt idx="78">
                  <c:v>0.18002191068914261</c:v>
                </c:pt>
                <c:pt idx="79">
                  <c:v>0.18143688247294748</c:v>
                </c:pt>
                <c:pt idx="80">
                  <c:v>0.18285470116083577</c:v>
                </c:pt>
                <c:pt idx="81">
                  <c:v>0.18427536848049572</c:v>
                </c:pt>
                <c:pt idx="82">
                  <c:v>0.18569888616792124</c:v>
                </c:pt>
                <c:pt idx="83">
                  <c:v>0.18712525596742577</c:v>
                </c:pt>
                <c:pt idx="84">
                  <c:v>0.18855447963165589</c:v>
                </c:pt>
                <c:pt idx="85">
                  <c:v>0.18998655892160565</c:v>
                </c:pt>
                <c:pt idx="86">
                  <c:v>0.19142149560663024</c:v>
                </c:pt>
                <c:pt idx="87">
                  <c:v>0.19285929146446018</c:v>
                </c:pt>
                <c:pt idx="88">
                  <c:v>0.19429994828121561</c:v>
                </c:pt>
                <c:pt idx="89">
                  <c:v>0.19574346785142022</c:v>
                </c:pt>
                <c:pt idx="90">
                  <c:v>0.19718985197801575</c:v>
                </c:pt>
                <c:pt idx="91">
                  <c:v>0.19863910247237615</c:v>
                </c:pt>
                <c:pt idx="92">
                  <c:v>0.20009122115432212</c:v>
                </c:pt>
                <c:pt idx="93">
                  <c:v>0.20154620985213556</c:v>
                </c:pt>
                <c:pt idx="94">
                  <c:v>0.20300407040257407</c:v>
                </c:pt>
                <c:pt idx="95">
                  <c:v>0.20446480465088562</c:v>
                </c:pt>
                <c:pt idx="96">
                  <c:v>0.20592841445082299</c:v>
                </c:pt>
                <c:pt idx="97">
                  <c:v>0.20739490166465901</c:v>
                </c:pt>
                <c:pt idx="98">
                  <c:v>0.20886426816320081</c:v>
                </c:pt>
                <c:pt idx="99">
                  <c:v>0.21033651582580506</c:v>
                </c:pt>
                <c:pt idx="100">
                  <c:v>0.21181164654039286</c:v>
                </c:pt>
              </c:numCache>
            </c:numRef>
          </c:val>
          <c:smooth val="0"/>
          <c:extLst>
            <c:ext xmlns:c16="http://schemas.microsoft.com/office/drawing/2014/chart" uri="{C3380CC4-5D6E-409C-BE32-E72D297353CC}">
              <c16:uniqueId val="{00000001-F8E4-4E87-B237-B7C8F7E9CC7F}"/>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cat>
          <c:val>
            <c:numRef>
              <c:f>'Efficiency Calculations'!$BA$9:$BA$109</c:f>
              <c:numCache>
                <c:formatCode>0.000</c:formatCode>
                <c:ptCount val="101"/>
                <c:pt idx="0">
                  <c:v>0.20010601492232918</c:v>
                </c:pt>
                <c:pt idx="1">
                  <c:v>0.2001068232736844</c:v>
                </c:pt>
                <c:pt idx="2">
                  <c:v>0.20010923184771989</c:v>
                </c:pt>
                <c:pt idx="3">
                  <c:v>0.2001132406462566</c:v>
                </c:pt>
                <c:pt idx="4">
                  <c:v>0.20011884967232521</c:v>
                </c:pt>
                <c:pt idx="5">
                  <c:v>0.20012605893016613</c:v>
                </c:pt>
                <c:pt idx="6">
                  <c:v>0.20013486842522968</c:v>
                </c:pt>
                <c:pt idx="7">
                  <c:v>0.20014527816417582</c:v>
                </c:pt>
                <c:pt idx="8">
                  <c:v>0.20015728815487449</c:v>
                </c:pt>
                <c:pt idx="9">
                  <c:v>0.20017089840640537</c:v>
                </c:pt>
                <c:pt idx="10">
                  <c:v>0.20018610892905803</c:v>
                </c:pt>
                <c:pt idx="11">
                  <c:v>0.20020291973433191</c:v>
                </c:pt>
                <c:pt idx="12">
                  <c:v>0.20022133083493626</c:v>
                </c:pt>
                <c:pt idx="13">
                  <c:v>0.20024134224479032</c:v>
                </c:pt>
                <c:pt idx="14">
                  <c:v>0.20026295397902327</c:v>
                </c:pt>
                <c:pt idx="15">
                  <c:v>0.20028616605397423</c:v>
                </c:pt>
                <c:pt idx="16">
                  <c:v>0.20031097848719234</c:v>
                </c:pt>
                <c:pt idx="17">
                  <c:v>0.20033739129743675</c:v>
                </c:pt>
                <c:pt idx="18">
                  <c:v>0.20036540450467669</c:v>
                </c:pt>
                <c:pt idx="19">
                  <c:v>0.2003950181300915</c:v>
                </c:pt>
                <c:pt idx="20">
                  <c:v>0.20042623219607064</c:v>
                </c:pt>
                <c:pt idx="21">
                  <c:v>0.20045904672621384</c:v>
                </c:pt>
                <c:pt idx="22">
                  <c:v>0.20049346174533095</c:v>
                </c:pt>
                <c:pt idx="23">
                  <c:v>0.20052947727944215</c:v>
                </c:pt>
                <c:pt idx="24">
                  <c:v>0.20056709335577796</c:v>
                </c:pt>
                <c:pt idx="25">
                  <c:v>0.20060631000277934</c:v>
                </c:pt>
                <c:pt idx="26">
                  <c:v>0.20064712725009751</c:v>
                </c:pt>
                <c:pt idx="27">
                  <c:v>0.2006895451285943</c:v>
                </c:pt>
                <c:pt idx="28">
                  <c:v>0.20073356367034215</c:v>
                </c:pt>
                <c:pt idx="29">
                  <c:v>0.20077918290862395</c:v>
                </c:pt>
                <c:pt idx="30">
                  <c:v>0.20082640287793338</c:v>
                </c:pt>
                <c:pt idx="31">
                  <c:v>0.20087522361397481</c:v>
                </c:pt>
                <c:pt idx="32">
                  <c:v>0.20092564515366343</c:v>
                </c:pt>
                <c:pt idx="33">
                  <c:v>0.20097766753512533</c:v>
                </c:pt>
                <c:pt idx="34">
                  <c:v>0.20103129079769747</c:v>
                </c:pt>
                <c:pt idx="35">
                  <c:v>0.20108651498192789</c:v>
                </c:pt>
                <c:pt idx="36">
                  <c:v>0.20114334012957572</c:v>
                </c:pt>
                <c:pt idx="37">
                  <c:v>0.20120176628361128</c:v>
                </c:pt>
                <c:pt idx="38">
                  <c:v>0.2012617934882161</c:v>
                </c:pt>
                <c:pt idx="39">
                  <c:v>0.2013234217887831</c:v>
                </c:pt>
                <c:pt idx="40">
                  <c:v>0.20138665123191657</c:v>
                </c:pt>
                <c:pt idx="41">
                  <c:v>0.20145148186543241</c:v>
                </c:pt>
                <c:pt idx="42">
                  <c:v>0.20151791373835803</c:v>
                </c:pt>
                <c:pt idx="43">
                  <c:v>0.20158594690093259</c:v>
                </c:pt>
                <c:pt idx="44">
                  <c:v>0.20165558140460701</c:v>
                </c:pt>
                <c:pt idx="45">
                  <c:v>0.20172681730204417</c:v>
                </c:pt>
                <c:pt idx="46">
                  <c:v>0.20179965464711883</c:v>
                </c:pt>
                <c:pt idx="47">
                  <c:v>0.20187409349491792</c:v>
                </c:pt>
                <c:pt idx="48">
                  <c:v>0.20195013390174057</c:v>
                </c:pt>
                <c:pt idx="49">
                  <c:v>0.20202777592509819</c:v>
                </c:pt>
                <c:pt idx="50">
                  <c:v>0.20210701962371458</c:v>
                </c:pt>
                <c:pt idx="51">
                  <c:v>0.20218786505752609</c:v>
                </c:pt>
                <c:pt idx="52">
                  <c:v>0.20227031228768169</c:v>
                </c:pt>
                <c:pt idx="53">
                  <c:v>0.20235436137654317</c:v>
                </c:pt>
                <c:pt idx="54">
                  <c:v>0.20244001238768508</c:v>
                </c:pt>
                <c:pt idx="55">
                  <c:v>0.20252726538589499</c:v>
                </c:pt>
                <c:pt idx="56">
                  <c:v>0.20261612043717367</c:v>
                </c:pt>
                <c:pt idx="57">
                  <c:v>0.20270657760873501</c:v>
                </c:pt>
                <c:pt idx="58">
                  <c:v>0.20279863696900632</c:v>
                </c:pt>
                <c:pt idx="59">
                  <c:v>0.20289229858762844</c:v>
                </c:pt>
                <c:pt idx="60">
                  <c:v>0.20298756253545577</c:v>
                </c:pt>
                <c:pt idx="61">
                  <c:v>0.20308442888455647</c:v>
                </c:pt>
                <c:pt idx="62">
                  <c:v>0.20318289770821266</c:v>
                </c:pt>
                <c:pt idx="63">
                  <c:v>0.20328296908092042</c:v>
                </c:pt>
                <c:pt idx="64">
                  <c:v>0.20338464307839005</c:v>
                </c:pt>
                <c:pt idx="65">
                  <c:v>0.20348791977754618</c:v>
                </c:pt>
                <c:pt idx="66">
                  <c:v>0.20359279925652787</c:v>
                </c:pt>
                <c:pt idx="67">
                  <c:v>0.20369928159468875</c:v>
                </c:pt>
                <c:pt idx="68">
                  <c:v>0.20380736687259737</c:v>
                </c:pt>
                <c:pt idx="69">
                  <c:v>0.20391705517203698</c:v>
                </c:pt>
                <c:pt idx="70">
                  <c:v>0.2040283465760061</c:v>
                </c:pt>
                <c:pt idx="71">
                  <c:v>0.20414124116871837</c:v>
                </c:pt>
                <c:pt idx="72">
                  <c:v>0.20425573903560279</c:v>
                </c:pt>
                <c:pt idx="73">
                  <c:v>0.20437184026330399</c:v>
                </c:pt>
                <c:pt idx="74">
                  <c:v>0.20448954493968227</c:v>
                </c:pt>
                <c:pt idx="75">
                  <c:v>0.2046088531538138</c:v>
                </c:pt>
                <c:pt idx="76">
                  <c:v>0.20472976499599074</c:v>
                </c:pt>
                <c:pt idx="77">
                  <c:v>0.20485228055772167</c:v>
                </c:pt>
                <c:pt idx="78">
                  <c:v>0.20497639993173133</c:v>
                </c:pt>
                <c:pt idx="79">
                  <c:v>0.20510212321196114</c:v>
                </c:pt>
                <c:pt idx="80">
                  <c:v>0.20522945049356925</c:v>
                </c:pt>
                <c:pt idx="81">
                  <c:v>0.20535838187293073</c:v>
                </c:pt>
                <c:pt idx="82">
                  <c:v>0.20548891744763775</c:v>
                </c:pt>
                <c:pt idx="83">
                  <c:v>0.20562105731649977</c:v>
                </c:pt>
                <c:pt idx="84">
                  <c:v>0.20575480157954373</c:v>
                </c:pt>
                <c:pt idx="85">
                  <c:v>0.20589015033801428</c:v>
                </c:pt>
                <c:pt idx="86">
                  <c:v>0.20602710369437385</c:v>
                </c:pt>
                <c:pt idx="87">
                  <c:v>0.20616566175230297</c:v>
                </c:pt>
                <c:pt idx="88">
                  <c:v>0.20630582461670044</c:v>
                </c:pt>
                <c:pt idx="89">
                  <c:v>0.20644759239368343</c:v>
                </c:pt>
                <c:pt idx="90">
                  <c:v>0.20659096519058789</c:v>
                </c:pt>
                <c:pt idx="91">
                  <c:v>0.20673594311596849</c:v>
                </c:pt>
                <c:pt idx="92">
                  <c:v>0.20688252627959905</c:v>
                </c:pt>
                <c:pt idx="93">
                  <c:v>0.20703071479247262</c:v>
                </c:pt>
                <c:pt idx="94">
                  <c:v>0.20718050876680166</c:v>
                </c:pt>
                <c:pt idx="95">
                  <c:v>0.2073319083160185</c:v>
                </c:pt>
                <c:pt idx="96">
                  <c:v>0.20748491355477514</c:v>
                </c:pt>
                <c:pt idx="97">
                  <c:v>0.20763952459894394</c:v>
                </c:pt>
                <c:pt idx="98">
                  <c:v>0.20779574156561739</c:v>
                </c:pt>
                <c:pt idx="99">
                  <c:v>0.20795356457310868</c:v>
                </c:pt>
                <c:pt idx="100">
                  <c:v>0.20811299374095174</c:v>
                </c:pt>
              </c:numCache>
            </c:numRef>
          </c:val>
          <c:smooth val="0"/>
          <c:extLst>
            <c:ext xmlns:c16="http://schemas.microsoft.com/office/drawing/2014/chart" uri="{C3380CC4-5D6E-409C-BE32-E72D297353CC}">
              <c16:uniqueId val="{00000002-F8E4-4E87-B237-B7C8F7E9CC7F}"/>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cat>
          <c:val>
            <c:numRef>
              <c:f>'Efficiency Calculations'!$BD$9:$BD$109</c:f>
              <c:numCache>
                <c:formatCode>0.000</c:formatCode>
                <c:ptCount val="101"/>
                <c:pt idx="0">
                  <c:v>1.2500991052506786E-3</c:v>
                </c:pt>
                <c:pt idx="1">
                  <c:v>1.8315471359525064E-3</c:v>
                </c:pt>
                <c:pt idx="2">
                  <c:v>2.4139175566613453E-3</c:v>
                </c:pt>
                <c:pt idx="3">
                  <c:v>2.9972100929657654E-3</c:v>
                </c:pt>
                <c:pt idx="4">
                  <c:v>3.5814244713192889E-3</c:v>
                </c:pt>
                <c:pt idx="5">
                  <c:v>4.1665604190395267E-3</c:v>
                </c:pt>
                <c:pt idx="6">
                  <c:v>4.752617664307306E-3</c:v>
                </c:pt>
                <c:pt idx="7">
                  <c:v>5.3395959361658028E-3</c:v>
                </c:pt>
                <c:pt idx="8">
                  <c:v>5.92749496451969E-3</c:v>
                </c:pt>
                <c:pt idx="9">
                  <c:v>6.5163144801342653E-3</c:v>
                </c:pt>
                <c:pt idx="10">
                  <c:v>7.1060542146346006E-3</c:v>
                </c:pt>
                <c:pt idx="11">
                  <c:v>7.6967139005046821E-3</c:v>
                </c:pt>
                <c:pt idx="12">
                  <c:v>8.2882932710865598E-3</c:v>
                </c:pt>
                <c:pt idx="13">
                  <c:v>8.8807920605794965E-3</c:v>
                </c:pt>
                <c:pt idx="14">
                  <c:v>9.4742100040391148E-3</c:v>
                </c:pt>
                <c:pt idx="15">
                  <c:v>1.0068546837376558E-2</c:v>
                </c:pt>
                <c:pt idx="16">
                  <c:v>1.0663802297357635E-2</c:v>
                </c:pt>
                <c:pt idx="17">
                  <c:v>1.125997612160199E-2</c:v>
                </c:pt>
                <c:pt idx="18">
                  <c:v>1.1857068048582253E-2</c:v>
                </c:pt>
                <c:pt idx="19">
                  <c:v>1.2455077817623207E-2</c:v>
                </c:pt>
                <c:pt idx="20">
                  <c:v>1.3056815417509271E-2</c:v>
                </c:pt>
                <c:pt idx="21">
                  <c:v>1.3716251996216474E-2</c:v>
                </c:pt>
                <c:pt idx="22">
                  <c:v>1.4376606052291945E-2</c:v>
                </c:pt>
                <c:pt idx="23">
                  <c:v>1.5037877355118386E-2</c:v>
                </c:pt>
                <c:pt idx="24">
                  <c:v>1.5700065674915546E-2</c:v>
                </c:pt>
                <c:pt idx="25">
                  <c:v>1.6363170782739429E-2</c:v>
                </c:pt>
                <c:pt idx="26">
                  <c:v>1.702719245048152E-2</c:v>
                </c:pt>
                <c:pt idx="27">
                  <c:v>1.7692130450868017E-2</c:v>
                </c:pt>
                <c:pt idx="28">
                  <c:v>1.8357984557459024E-2</c:v>
                </c:pt>
                <c:pt idx="29">
                  <c:v>1.9024754544647821E-2</c:v>
                </c:pt>
                <c:pt idx="30">
                  <c:v>1.9692440187660049E-2</c:v>
                </c:pt>
                <c:pt idx="31">
                  <c:v>2.0361041262552983E-2</c:v>
                </c:pt>
                <c:pt idx="32">
                  <c:v>2.1030557546214714E-2</c:v>
                </c:pt>
                <c:pt idx="33">
                  <c:v>2.170098881636344E-2</c:v>
                </c:pt>
                <c:pt idx="34">
                  <c:v>2.2372334851546664E-2</c:v>
                </c:pt>
                <c:pt idx="35">
                  <c:v>2.304459543114044E-2</c:v>
                </c:pt>
                <c:pt idx="36">
                  <c:v>2.3717770335348626E-2</c:v>
                </c:pt>
                <c:pt idx="37">
                  <c:v>2.4391859345202126E-2</c:v>
                </c:pt>
                <c:pt idx="38">
                  <c:v>2.5066862242558118E-2</c:v>
                </c:pt>
                <c:pt idx="39">
                  <c:v>2.5742778810099329E-2</c:v>
                </c:pt>
                <c:pt idx="40">
                  <c:v>2.6419608831333263E-2</c:v>
                </c:pt>
                <c:pt idx="41">
                  <c:v>2.7097352090591446E-2</c:v>
                </c:pt>
                <c:pt idx="42">
                  <c:v>2.7776008373028738E-2</c:v>
                </c:pt>
                <c:pt idx="43">
                  <c:v>2.8455577464622489E-2</c:v>
                </c:pt>
                <c:pt idx="44">
                  <c:v>2.9136059152171899E-2</c:v>
                </c:pt>
                <c:pt idx="45">
                  <c:v>2.9817453223297222E-2</c:v>
                </c:pt>
                <c:pt idx="46">
                  <c:v>3.0499759466439024E-2</c:v>
                </c:pt>
                <c:pt idx="47">
                  <c:v>3.1182977670857492E-2</c:v>
                </c:pt>
                <c:pt idx="48">
                  <c:v>3.1867107626631655E-2</c:v>
                </c:pt>
                <c:pt idx="49">
                  <c:v>3.2552149124658668E-2</c:v>
                </c:pt>
                <c:pt idx="50">
                  <c:v>3.3238101956653117E-2</c:v>
                </c:pt>
                <c:pt idx="51">
                  <c:v>3.3924965915146217E-2</c:v>
                </c:pt>
                <c:pt idx="52">
                  <c:v>3.4612740793485162E-2</c:v>
                </c:pt>
                <c:pt idx="53">
                  <c:v>3.530142638583237E-2</c:v>
                </c:pt>
                <c:pt idx="54">
                  <c:v>3.5991022487164757E-2</c:v>
                </c:pt>
                <c:pt idx="55">
                  <c:v>3.6681528893273016E-2</c:v>
                </c:pt>
                <c:pt idx="56">
                  <c:v>3.7372945400760936E-2</c:v>
                </c:pt>
                <c:pt idx="57">
                  <c:v>3.8065271807044658E-2</c:v>
                </c:pt>
                <c:pt idx="58">
                  <c:v>3.8758507910351951E-2</c:v>
                </c:pt>
                <c:pt idx="59">
                  <c:v>3.9452653509721519E-2</c:v>
                </c:pt>
                <c:pt idx="60">
                  <c:v>4.0147708405002293E-2</c:v>
                </c:pt>
                <c:pt idx="61">
                  <c:v>4.084367239685275E-2</c:v>
                </c:pt>
                <c:pt idx="62">
                  <c:v>4.1540545286740144E-2</c:v>
                </c:pt>
                <c:pt idx="63">
                  <c:v>4.2238326876939854E-2</c:v>
                </c:pt>
                <c:pt idx="64">
                  <c:v>4.2937016970534682E-2</c:v>
                </c:pt>
                <c:pt idx="65">
                  <c:v>4.363661537141416E-2</c:v>
                </c:pt>
                <c:pt idx="66">
                  <c:v>4.4337121884273786E-2</c:v>
                </c:pt>
                <c:pt idx="67">
                  <c:v>4.5038536314614436E-2</c:v>
                </c:pt>
                <c:pt idx="68">
                  <c:v>4.574085846874161E-2</c:v>
                </c:pt>
                <c:pt idx="69">
                  <c:v>4.6444088153764718E-2</c:v>
                </c:pt>
                <c:pt idx="70">
                  <c:v>4.7148225177596474E-2</c:v>
                </c:pt>
                <c:pt idx="71">
                  <c:v>4.7853269348952121E-2</c:v>
                </c:pt>
                <c:pt idx="72">
                  <c:v>4.8559220477348813E-2</c:v>
                </c:pt>
                <c:pt idx="73">
                  <c:v>4.9266078373104899E-2</c:v>
                </c:pt>
                <c:pt idx="74">
                  <c:v>4.9973842847339259E-2</c:v>
                </c:pt>
                <c:pt idx="75">
                  <c:v>5.0682513711970606E-2</c:v>
                </c:pt>
                <c:pt idx="76">
                  <c:v>5.1392090779716841E-2</c:v>
                </c:pt>
                <c:pt idx="77">
                  <c:v>5.2102573864094379E-2</c:v>
                </c:pt>
                <c:pt idx="78">
                  <c:v>5.2813962779417384E-2</c:v>
                </c:pt>
                <c:pt idx="79">
                  <c:v>5.3526257340797287E-2</c:v>
                </c:pt>
                <c:pt idx="80">
                  <c:v>5.4239457364141923E-2</c:v>
                </c:pt>
                <c:pt idx="81">
                  <c:v>5.4953562666154976E-2</c:v>
                </c:pt>
                <c:pt idx="82">
                  <c:v>5.5668573064335272E-2</c:v>
                </c:pt>
                <c:pt idx="83">
                  <c:v>5.6384488376976211E-2</c:v>
                </c:pt>
                <c:pt idx="84">
                  <c:v>5.7101308423164923E-2</c:v>
                </c:pt>
                <c:pt idx="85">
                  <c:v>5.7819033022781754E-2</c:v>
                </c:pt>
                <c:pt idx="86">
                  <c:v>5.8537661996499624E-2</c:v>
                </c:pt>
                <c:pt idx="87">
                  <c:v>5.9257195165783254E-2</c:v>
                </c:pt>
                <c:pt idx="88">
                  <c:v>5.9977632352888624E-2</c:v>
                </c:pt>
                <c:pt idx="89">
                  <c:v>6.0698973380862248E-2</c:v>
                </c:pt>
                <c:pt idx="90">
                  <c:v>6.1421218073540618E-2</c:v>
                </c:pt>
                <c:pt idx="91">
                  <c:v>6.2144366255549428E-2</c:v>
                </c:pt>
                <c:pt idx="92">
                  <c:v>6.2868417752303035E-2</c:v>
                </c:pt>
                <c:pt idx="93">
                  <c:v>6.3593372390003788E-2</c:v>
                </c:pt>
                <c:pt idx="94">
                  <c:v>6.4319229995641394E-2</c:v>
                </c:pt>
                <c:pt idx="95">
                  <c:v>6.5045990396992229E-2</c:v>
                </c:pt>
                <c:pt idx="96">
                  <c:v>6.5773653422618761E-2</c:v>
                </c:pt>
                <c:pt idx="97">
                  <c:v>6.6502218901868887E-2</c:v>
                </c:pt>
                <c:pt idx="98">
                  <c:v>6.7231686664875334E-2</c:v>
                </c:pt>
                <c:pt idx="99">
                  <c:v>6.7962056542554994E-2</c:v>
                </c:pt>
                <c:pt idx="100">
                  <c:v>6.8693328366608269E-2</c:v>
                </c:pt>
              </c:numCache>
            </c:numRef>
          </c:val>
          <c:smooth val="0"/>
          <c:extLst>
            <c:ext xmlns:c16="http://schemas.microsoft.com/office/drawing/2014/chart" uri="{C3380CC4-5D6E-409C-BE32-E72D297353CC}">
              <c16:uniqueId val="{00000003-F8E4-4E87-B237-B7C8F7E9CC7F}"/>
            </c:ext>
          </c:extLst>
        </c:ser>
        <c:dLbls>
          <c:showLegendKey val="0"/>
          <c:showVal val="0"/>
          <c:showCatName val="0"/>
          <c:showSerName val="0"/>
          <c:showPercent val="0"/>
          <c:showBubbleSize val="0"/>
        </c:dLbls>
        <c:marker val="1"/>
        <c:smooth val="0"/>
        <c:axId val="334234752"/>
        <c:axId val="44563456"/>
      </c:lineChart>
      <c:catAx>
        <c:axId val="44547072"/>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44561536"/>
        <c:crosses val="autoZero"/>
        <c:auto val="1"/>
        <c:lblAlgn val="ctr"/>
        <c:lblOffset val="100"/>
        <c:tickLblSkip val="20"/>
        <c:tickMarkSkip val="20"/>
        <c:noMultiLvlLbl val="1"/>
      </c:catAx>
      <c:valAx>
        <c:axId val="44561536"/>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44547072"/>
        <c:crosses val="autoZero"/>
        <c:crossBetween val="between"/>
        <c:majorUnit val="5"/>
        <c:minorUnit val="2.5"/>
      </c:valAx>
      <c:valAx>
        <c:axId val="4456345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334234752"/>
        <c:crosses val="max"/>
        <c:crossBetween val="between"/>
      </c:valAx>
      <c:catAx>
        <c:axId val="334234752"/>
        <c:scaling>
          <c:orientation val="minMax"/>
        </c:scaling>
        <c:delete val="1"/>
        <c:axPos val="b"/>
        <c:numFmt formatCode="0.000" sourceLinked="1"/>
        <c:majorTickMark val="out"/>
        <c:minorTickMark val="none"/>
        <c:tickLblPos val="nextTo"/>
        <c:crossAx val="4456345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pitchFamily="34" charset="0"/>
                <a:ea typeface="Calibri"/>
                <a:cs typeface="Arial" pitchFamily="34" charset="0"/>
              </a:defRPr>
            </a:pPr>
            <a:r>
              <a:rPr lang="en-US" sz="2000">
                <a:latin typeface="Arial" pitchFamily="34" charset="0"/>
                <a:cs typeface="Arial" pitchFamily="34" charset="0"/>
                <a:sym typeface="Symbol"/>
              </a:rPr>
              <a:t></a:t>
            </a:r>
            <a:r>
              <a:rPr lang="en-US" sz="2000" b="1" i="0" u="none" strike="noStrike" baseline="0"/>
              <a:t>,  V</a:t>
            </a:r>
            <a:r>
              <a:rPr lang="en-US" sz="2000" b="1" i="0" u="none" strike="noStrike" baseline="-25000"/>
              <a:t>IN</a:t>
            </a:r>
            <a:r>
              <a:rPr lang="en-US" sz="2000" b="1" i="0" u="none" strike="noStrike" baseline="0"/>
              <a:t> = V</a:t>
            </a:r>
            <a:r>
              <a:rPr lang="en-US" sz="2000" b="1" i="0" u="none" strike="noStrike" baseline="-25000"/>
              <a:t>IN(nom)</a:t>
            </a:r>
            <a:endParaRPr lang="en-US" sz="2000">
              <a:latin typeface="Arial" pitchFamily="34" charset="0"/>
              <a:cs typeface="Arial" pitchFamily="34" charset="0"/>
            </a:endParaRPr>
          </a:p>
        </c:rich>
      </c:tx>
      <c:layout>
        <c:manualLayout>
          <c:xMode val="edge"/>
          <c:yMode val="edge"/>
          <c:x val="7.7082846781954192E-2"/>
          <c:y val="1.4109969466157928E-2"/>
        </c:manualLayout>
      </c:layout>
      <c:overlay val="0"/>
      <c:spPr>
        <a:noFill/>
        <a:ln w="25400">
          <a:noFill/>
        </a:ln>
      </c:spPr>
    </c:title>
    <c:autoTitleDeleted val="0"/>
    <c:plotArea>
      <c:layout>
        <c:manualLayout>
          <c:layoutTarget val="inner"/>
          <c:xMode val="edge"/>
          <c:yMode val="edge"/>
          <c:x val="8.2399604911965282E-2"/>
          <c:y val="0.12372903654825702"/>
          <c:w val="0.82579990228506228"/>
          <c:h val="0.76068566810117366"/>
        </c:manualLayout>
      </c:layout>
      <c:lineChart>
        <c:grouping val="standard"/>
        <c:varyColors val="0"/>
        <c:ser>
          <c:idx val="0"/>
          <c:order val="0"/>
          <c:tx>
            <c:v>Efficiency</c:v>
          </c:tx>
          <c:spPr>
            <a:ln w="28575">
              <a:solidFill>
                <a:srgbClr val="FF0000"/>
              </a:solidFill>
              <a:prstDash val="solid"/>
            </a:ln>
          </c:spPr>
          <c:marker>
            <c:symbol val="none"/>
          </c:marker>
          <c:cat>
            <c:multiLvlStrRef>
              <c:f>#REF!</c:f>
            </c:multiLvlStrRef>
          </c:cat>
          <c:val>
            <c:numRef>
              <c:f>#REF!</c:f>
              <c:numCache>
                <c:formatCode>General</c:formatCode>
                <c:ptCount val="1"/>
                <c:pt idx="0">
                  <c:v>1</c:v>
                </c:pt>
              </c:numCache>
            </c:numRef>
          </c:val>
          <c:smooth val="0"/>
          <c:extLst>
            <c:ext xmlns:c16="http://schemas.microsoft.com/office/drawing/2014/chart" uri="{C3380CC4-5D6E-409C-BE32-E72D297353CC}">
              <c16:uniqueId val="{00000000-7A01-4C6E-8131-226BA8336B2F}"/>
            </c:ext>
          </c:extLst>
        </c:ser>
        <c:dLbls>
          <c:showLegendKey val="0"/>
          <c:showVal val="0"/>
          <c:showCatName val="0"/>
          <c:showSerName val="0"/>
          <c:showPercent val="0"/>
          <c:showBubbleSize val="0"/>
        </c:dLbls>
        <c:marker val="1"/>
        <c:smooth val="0"/>
        <c:axId val="334288768"/>
        <c:axId val="334299136"/>
      </c:lineChart>
      <c:lineChart>
        <c:grouping val="standard"/>
        <c:varyColors val="0"/>
        <c:ser>
          <c:idx val="2"/>
          <c:order val="1"/>
          <c:tx>
            <c:strRef>
              <c:f>'Efficiency Calculations'!$BC$8</c:f>
              <c:strCache>
                <c:ptCount val="1"/>
                <c:pt idx="0">
                  <c:v>Control MOSFET Loss</c:v>
                </c:pt>
              </c:strCache>
            </c:strRef>
          </c:tx>
          <c:spPr>
            <a:ln w="38100">
              <a:solidFill>
                <a:srgbClr val="808000"/>
              </a:solidFill>
              <a:prstDash val="sysDash"/>
            </a:ln>
          </c:spPr>
          <c:marker>
            <c:symbol val="none"/>
          </c:marker>
          <c:cat>
            <c:numRef>
              <c:f>'Efficiency Calculations'!$K$9:$K$109</c:f>
              <c:numCache>
                <c:formatCode>0.000</c:formatCode>
                <c:ptCount val="101"/>
                <c:pt idx="0">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1-7A01-4C6E-8131-226BA8336B2F}"/>
            </c:ext>
          </c:extLst>
        </c:ser>
        <c:ser>
          <c:idx val="3"/>
          <c:order val="2"/>
          <c:tx>
            <c:v>Inductor Loss</c:v>
          </c:tx>
          <c:spPr>
            <a:ln w="38100">
              <a:solidFill>
                <a:srgbClr val="800080"/>
              </a:solidFill>
              <a:prstDash val="dash"/>
            </a:ln>
          </c:spPr>
          <c:marker>
            <c:symbol val="none"/>
          </c:marker>
          <c:cat>
            <c:numRef>
              <c:f>'Efficiency Calculations'!$K$9:$K$109</c:f>
              <c:numCache>
                <c:formatCode>0.000</c:formatCode>
                <c:ptCount val="101"/>
                <c:pt idx="0">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2-7A01-4C6E-8131-226BA8336B2F}"/>
            </c:ext>
          </c:extLst>
        </c:ser>
        <c:ser>
          <c:idx val="1"/>
          <c:order val="3"/>
          <c:tx>
            <c:strRef>
              <c:f>'Efficiency Calculations'!$BD$8</c:f>
              <c:strCache>
                <c:ptCount val="1"/>
                <c:pt idx="0">
                  <c:v>SYNC MOSFET Loss</c:v>
                </c:pt>
              </c:strCache>
            </c:strRef>
          </c:tx>
          <c:spPr>
            <a:ln w="38100">
              <a:solidFill>
                <a:srgbClr val="002060"/>
              </a:solidFill>
              <a:prstDash val="sysDot"/>
            </a:ln>
          </c:spPr>
          <c:marker>
            <c:symbol val="none"/>
          </c:marker>
          <c:cat>
            <c:numRef>
              <c:f>'Efficiency Calculations'!$K$9:$K$109</c:f>
              <c:numCache>
                <c:formatCode>0.000</c:formatCode>
                <c:ptCount val="101"/>
                <c:pt idx="0">
                  <c:v>0</c:v>
                </c:pt>
                <c:pt idx="1">
                  <c:v>1.4999999999999999E-2</c:v>
                </c:pt>
                <c:pt idx="2">
                  <c:v>0.03</c:v>
                </c:pt>
                <c:pt idx="3">
                  <c:v>4.4999999999999998E-2</c:v>
                </c:pt>
                <c:pt idx="4">
                  <c:v>0.06</c:v>
                </c:pt>
                <c:pt idx="5">
                  <c:v>7.4999999999999997E-2</c:v>
                </c:pt>
                <c:pt idx="6">
                  <c:v>0.09</c:v>
                </c:pt>
                <c:pt idx="7">
                  <c:v>0.105</c:v>
                </c:pt>
                <c:pt idx="8">
                  <c:v>0.12</c:v>
                </c:pt>
                <c:pt idx="9">
                  <c:v>0.13500000000000001</c:v>
                </c:pt>
                <c:pt idx="10">
                  <c:v>0.15</c:v>
                </c:pt>
                <c:pt idx="11">
                  <c:v>0.16500000000000001</c:v>
                </c:pt>
                <c:pt idx="12">
                  <c:v>0.18</c:v>
                </c:pt>
                <c:pt idx="13">
                  <c:v>0.19500000000000001</c:v>
                </c:pt>
                <c:pt idx="14">
                  <c:v>0.21</c:v>
                </c:pt>
                <c:pt idx="15">
                  <c:v>0.22500000000000001</c:v>
                </c:pt>
                <c:pt idx="16">
                  <c:v>0.24</c:v>
                </c:pt>
                <c:pt idx="17">
                  <c:v>0.255</c:v>
                </c:pt>
                <c:pt idx="18">
                  <c:v>0.27</c:v>
                </c:pt>
                <c:pt idx="19">
                  <c:v>0.28499999999999998</c:v>
                </c:pt>
                <c:pt idx="20">
                  <c:v>0.3</c:v>
                </c:pt>
                <c:pt idx="21">
                  <c:v>0.315</c:v>
                </c:pt>
                <c:pt idx="22">
                  <c:v>0.33</c:v>
                </c:pt>
                <c:pt idx="23">
                  <c:v>0.34499999999999997</c:v>
                </c:pt>
                <c:pt idx="24">
                  <c:v>0.36</c:v>
                </c:pt>
                <c:pt idx="25">
                  <c:v>0.375</c:v>
                </c:pt>
                <c:pt idx="26">
                  <c:v>0.39</c:v>
                </c:pt>
                <c:pt idx="27">
                  <c:v>0.40500000000000003</c:v>
                </c:pt>
                <c:pt idx="28">
                  <c:v>0.42</c:v>
                </c:pt>
                <c:pt idx="29">
                  <c:v>0.435</c:v>
                </c:pt>
                <c:pt idx="30">
                  <c:v>0.45</c:v>
                </c:pt>
                <c:pt idx="31">
                  <c:v>0.46500000000000002</c:v>
                </c:pt>
                <c:pt idx="32">
                  <c:v>0.48</c:v>
                </c:pt>
                <c:pt idx="33">
                  <c:v>0.495</c:v>
                </c:pt>
                <c:pt idx="34">
                  <c:v>0.51</c:v>
                </c:pt>
                <c:pt idx="35">
                  <c:v>0.52500000000000002</c:v>
                </c:pt>
                <c:pt idx="36">
                  <c:v>0.54</c:v>
                </c:pt>
                <c:pt idx="37">
                  <c:v>0.55500000000000005</c:v>
                </c:pt>
                <c:pt idx="38">
                  <c:v>0.56999999999999995</c:v>
                </c:pt>
                <c:pt idx="39">
                  <c:v>0.58499999999999996</c:v>
                </c:pt>
                <c:pt idx="40">
                  <c:v>0.6</c:v>
                </c:pt>
                <c:pt idx="41">
                  <c:v>0.61499999999999999</c:v>
                </c:pt>
                <c:pt idx="42">
                  <c:v>0.63</c:v>
                </c:pt>
                <c:pt idx="43">
                  <c:v>0.64500000000000002</c:v>
                </c:pt>
                <c:pt idx="44">
                  <c:v>0.66</c:v>
                </c:pt>
                <c:pt idx="45">
                  <c:v>0.67500000000000004</c:v>
                </c:pt>
                <c:pt idx="46">
                  <c:v>0.69</c:v>
                </c:pt>
                <c:pt idx="47">
                  <c:v>0.70499999999999996</c:v>
                </c:pt>
                <c:pt idx="48">
                  <c:v>0.72</c:v>
                </c:pt>
                <c:pt idx="49">
                  <c:v>0.73499999999999999</c:v>
                </c:pt>
                <c:pt idx="50">
                  <c:v>0.75</c:v>
                </c:pt>
                <c:pt idx="51">
                  <c:v>0.76500000000000001</c:v>
                </c:pt>
                <c:pt idx="52">
                  <c:v>0.78</c:v>
                </c:pt>
                <c:pt idx="53">
                  <c:v>0.79500000000000004</c:v>
                </c:pt>
                <c:pt idx="54">
                  <c:v>0.81</c:v>
                </c:pt>
                <c:pt idx="55">
                  <c:v>0.82499999999999996</c:v>
                </c:pt>
                <c:pt idx="56">
                  <c:v>0.84</c:v>
                </c:pt>
                <c:pt idx="57">
                  <c:v>0.85499999999999998</c:v>
                </c:pt>
                <c:pt idx="58">
                  <c:v>0.87</c:v>
                </c:pt>
                <c:pt idx="59">
                  <c:v>0.88500000000000001</c:v>
                </c:pt>
                <c:pt idx="60">
                  <c:v>0.9</c:v>
                </c:pt>
                <c:pt idx="61">
                  <c:v>0.91500000000000004</c:v>
                </c:pt>
                <c:pt idx="62">
                  <c:v>0.93</c:v>
                </c:pt>
                <c:pt idx="63">
                  <c:v>0.94499999999999995</c:v>
                </c:pt>
                <c:pt idx="64">
                  <c:v>0.96</c:v>
                </c:pt>
                <c:pt idx="65">
                  <c:v>0.97499999999999998</c:v>
                </c:pt>
                <c:pt idx="66">
                  <c:v>0.99</c:v>
                </c:pt>
                <c:pt idx="67">
                  <c:v>1.0049999999999999</c:v>
                </c:pt>
                <c:pt idx="68">
                  <c:v>1.02</c:v>
                </c:pt>
                <c:pt idx="69">
                  <c:v>1.0349999999999999</c:v>
                </c:pt>
                <c:pt idx="70">
                  <c:v>1.05</c:v>
                </c:pt>
                <c:pt idx="71">
                  <c:v>1.0649999999999999</c:v>
                </c:pt>
                <c:pt idx="72">
                  <c:v>1.08</c:v>
                </c:pt>
                <c:pt idx="73">
                  <c:v>1.095</c:v>
                </c:pt>
                <c:pt idx="74">
                  <c:v>1.1100000000000001</c:v>
                </c:pt>
                <c:pt idx="75">
                  <c:v>1.125</c:v>
                </c:pt>
                <c:pt idx="76">
                  <c:v>1.1399999999999999</c:v>
                </c:pt>
                <c:pt idx="77">
                  <c:v>1.155</c:v>
                </c:pt>
                <c:pt idx="78">
                  <c:v>1.17</c:v>
                </c:pt>
                <c:pt idx="79">
                  <c:v>1.1850000000000001</c:v>
                </c:pt>
                <c:pt idx="80">
                  <c:v>1.2</c:v>
                </c:pt>
                <c:pt idx="81">
                  <c:v>1.2150000000000001</c:v>
                </c:pt>
                <c:pt idx="82">
                  <c:v>1.23</c:v>
                </c:pt>
                <c:pt idx="83">
                  <c:v>1.2450000000000001</c:v>
                </c:pt>
                <c:pt idx="84">
                  <c:v>1.26</c:v>
                </c:pt>
                <c:pt idx="85">
                  <c:v>1.2749999999999999</c:v>
                </c:pt>
                <c:pt idx="86">
                  <c:v>1.29</c:v>
                </c:pt>
                <c:pt idx="87">
                  <c:v>1.3049999999999999</c:v>
                </c:pt>
                <c:pt idx="88">
                  <c:v>1.32</c:v>
                </c:pt>
                <c:pt idx="89">
                  <c:v>1.335</c:v>
                </c:pt>
                <c:pt idx="90">
                  <c:v>1.35</c:v>
                </c:pt>
                <c:pt idx="91">
                  <c:v>1.365</c:v>
                </c:pt>
                <c:pt idx="92">
                  <c:v>1.38</c:v>
                </c:pt>
                <c:pt idx="93">
                  <c:v>1.395</c:v>
                </c:pt>
                <c:pt idx="94">
                  <c:v>1.41</c:v>
                </c:pt>
                <c:pt idx="95">
                  <c:v>1.425</c:v>
                </c:pt>
                <c:pt idx="96">
                  <c:v>1.44</c:v>
                </c:pt>
                <c:pt idx="97">
                  <c:v>1.4550000000000001</c:v>
                </c:pt>
                <c:pt idx="98">
                  <c:v>1.47</c:v>
                </c:pt>
                <c:pt idx="99">
                  <c:v>1.4850000000000001</c:v>
                </c:pt>
                <c:pt idx="100">
                  <c:v>1.5</c:v>
                </c:pt>
              </c:numCache>
            </c:numRef>
          </c:cat>
          <c:val>
            <c:numRef>
              <c:f>#REF!</c:f>
              <c:numCache>
                <c:formatCode>General</c:formatCode>
                <c:ptCount val="1"/>
                <c:pt idx="0">
                  <c:v>1</c:v>
                </c:pt>
              </c:numCache>
            </c:numRef>
          </c:val>
          <c:smooth val="0"/>
          <c:extLst>
            <c:ext xmlns:c16="http://schemas.microsoft.com/office/drawing/2014/chart" uri="{C3380CC4-5D6E-409C-BE32-E72D297353CC}">
              <c16:uniqueId val="{00000003-7A01-4C6E-8131-226BA8336B2F}"/>
            </c:ext>
          </c:extLst>
        </c:ser>
        <c:dLbls>
          <c:showLegendKey val="0"/>
          <c:showVal val="0"/>
          <c:showCatName val="0"/>
          <c:showSerName val="0"/>
          <c:showPercent val="0"/>
          <c:showBubbleSize val="0"/>
        </c:dLbls>
        <c:marker val="1"/>
        <c:smooth val="0"/>
        <c:axId val="334307328"/>
        <c:axId val="334301056"/>
      </c:lineChart>
      <c:catAx>
        <c:axId val="334288768"/>
        <c:scaling>
          <c:orientation val="minMax"/>
        </c:scaling>
        <c:delete val="0"/>
        <c:axPos val="b"/>
        <c:majorGridlines>
          <c:spPr>
            <a:ln w="15875">
              <a:solidFill>
                <a:srgbClr val="969696"/>
              </a:solidFill>
              <a:prstDash val="sysDash"/>
            </a:ln>
          </c:spPr>
        </c:majorGridlines>
        <c:title>
          <c:tx>
            <c:rich>
              <a:bodyPr/>
              <a:lstStyle/>
              <a:p>
                <a:pPr>
                  <a:defRPr sz="1300" b="1" i="0" u="none" strike="noStrike" baseline="0">
                    <a:solidFill>
                      <a:srgbClr val="0000FF"/>
                    </a:solidFill>
                    <a:latin typeface="Arial" pitchFamily="34" charset="0"/>
                    <a:ea typeface="Calibri"/>
                    <a:cs typeface="Arial" pitchFamily="34" charset="0"/>
                  </a:defRPr>
                </a:pPr>
                <a:r>
                  <a:rPr lang="en-US" sz="1300">
                    <a:solidFill>
                      <a:srgbClr val="0000FF"/>
                    </a:solidFill>
                    <a:latin typeface="Arial" pitchFamily="34" charset="0"/>
                    <a:cs typeface="Arial" pitchFamily="34" charset="0"/>
                  </a:rPr>
                  <a:t>Load Current (A)</a:t>
                </a:r>
              </a:p>
            </c:rich>
          </c:tx>
          <c:layout>
            <c:manualLayout>
              <c:xMode val="edge"/>
              <c:yMode val="edge"/>
              <c:x val="0.41625343343709942"/>
              <c:y val="0.94571913573731337"/>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34299136"/>
        <c:crosses val="autoZero"/>
        <c:auto val="1"/>
        <c:lblAlgn val="ctr"/>
        <c:lblOffset val="100"/>
        <c:tickLblSkip val="20"/>
        <c:tickMarkSkip val="20"/>
        <c:noMultiLvlLbl val="1"/>
      </c:catAx>
      <c:valAx>
        <c:axId val="334299136"/>
        <c:scaling>
          <c:orientation val="minMax"/>
          <c:max val="100"/>
          <c:min val="65"/>
        </c:scaling>
        <c:delete val="0"/>
        <c:axPos val="l"/>
        <c:majorGridlines>
          <c:spPr>
            <a:ln w="15875">
              <a:solidFill>
                <a:srgbClr val="808080"/>
              </a:solidFill>
              <a:prstDash val="solid"/>
            </a:ln>
          </c:spPr>
        </c:majorGridlines>
        <c:minorGridlines/>
        <c:title>
          <c:tx>
            <c:rich>
              <a:bodyPr/>
              <a:lstStyle/>
              <a:p>
                <a:pPr>
                  <a:defRPr sz="1300" b="1" i="0" u="none" strike="noStrike" baseline="0">
                    <a:solidFill>
                      <a:srgbClr val="FF0000"/>
                    </a:solidFill>
                    <a:latin typeface="Arial" pitchFamily="34" charset="0"/>
                    <a:ea typeface="Calibri"/>
                    <a:cs typeface="Arial" pitchFamily="34" charset="0"/>
                  </a:defRPr>
                </a:pPr>
                <a:r>
                  <a:rPr lang="en-US" sz="1300" b="1">
                    <a:solidFill>
                      <a:srgbClr val="FF0000"/>
                    </a:solidFill>
                    <a:latin typeface="Arial" pitchFamily="34" charset="0"/>
                    <a:cs typeface="Arial" pitchFamily="34" charset="0"/>
                  </a:rPr>
                  <a:t>Efficiency (%)</a:t>
                </a:r>
              </a:p>
            </c:rich>
          </c:tx>
          <c:layout>
            <c:manualLayout>
              <c:xMode val="edge"/>
              <c:yMode val="edge"/>
              <c:x val="1.2871858674081443E-2"/>
              <c:y val="0.37638177915688398"/>
            </c:manualLayout>
          </c:layout>
          <c:overlay val="0"/>
          <c:spPr>
            <a:noFill/>
            <a:ln w="25400">
              <a:noFill/>
            </a:ln>
          </c:spPr>
        </c:title>
        <c:numFmt formatCode="#,##0" sourceLinked="0"/>
        <c:majorTickMark val="out"/>
        <c:minorTickMark val="out"/>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34288768"/>
        <c:crosses val="autoZero"/>
        <c:crossBetween val="between"/>
        <c:majorUnit val="5"/>
        <c:minorUnit val="2.5"/>
      </c:valAx>
      <c:valAx>
        <c:axId val="334301056"/>
        <c:scaling>
          <c:orientation val="minMax"/>
          <c:min val="0"/>
        </c:scaling>
        <c:delete val="0"/>
        <c:axPos val="r"/>
        <c:title>
          <c:tx>
            <c:rich>
              <a:bodyPr rot="-5400000" vert="horz"/>
              <a:lstStyle/>
              <a:p>
                <a:pPr>
                  <a:defRPr sz="1400" b="1"/>
                </a:pPr>
                <a:r>
                  <a:rPr lang="en-US" sz="1400" b="1"/>
                  <a:t>Power Loss (W)</a:t>
                </a:r>
              </a:p>
            </c:rich>
          </c:tx>
          <c:layout>
            <c:manualLayout>
              <c:xMode val="edge"/>
              <c:yMode val="edge"/>
              <c:x val="0.95594291793250197"/>
              <c:y val="0.37048873366731228"/>
            </c:manualLayout>
          </c:layout>
          <c:overlay val="0"/>
        </c:title>
        <c:numFmt formatCode="General" sourceLinked="0"/>
        <c:majorTickMark val="cross"/>
        <c:minorTickMark val="none"/>
        <c:tickLblPos val="nextTo"/>
        <c:txPr>
          <a:bodyPr/>
          <a:lstStyle/>
          <a:p>
            <a:pPr>
              <a:defRPr sz="1100" b="1">
                <a:solidFill>
                  <a:sysClr val="windowText" lastClr="000000"/>
                </a:solidFill>
              </a:defRPr>
            </a:pPr>
            <a:endParaRPr lang="en-US"/>
          </a:p>
        </c:txPr>
        <c:crossAx val="334307328"/>
        <c:crosses val="max"/>
        <c:crossBetween val="between"/>
      </c:valAx>
      <c:catAx>
        <c:axId val="334307328"/>
        <c:scaling>
          <c:orientation val="minMax"/>
        </c:scaling>
        <c:delete val="1"/>
        <c:axPos val="b"/>
        <c:numFmt formatCode="0.000" sourceLinked="1"/>
        <c:majorTickMark val="out"/>
        <c:minorTickMark val="none"/>
        <c:tickLblPos val="nextTo"/>
        <c:crossAx val="334301056"/>
        <c:crosses val="autoZero"/>
        <c:auto val="1"/>
        <c:lblAlgn val="ctr"/>
        <c:lblOffset val="100"/>
        <c:noMultiLvlLbl val="0"/>
      </c:catAx>
      <c:spPr>
        <a:noFill/>
        <a:ln w="25400">
          <a:noFill/>
        </a:ln>
      </c:spPr>
    </c:plotArea>
    <c:legend>
      <c:legendPos val="t"/>
      <c:layout>
        <c:manualLayout>
          <c:xMode val="edge"/>
          <c:yMode val="edge"/>
          <c:x val="0.36120408747265326"/>
          <c:y val="1.1892626175886978E-2"/>
          <c:w val="0.55790801648035493"/>
          <c:h val="9.0576560908423698E-2"/>
        </c:manualLayout>
      </c:layout>
      <c:overlay val="0"/>
      <c:spPr>
        <a:solidFill>
          <a:srgbClr val="FFFFFF"/>
        </a:solidFill>
        <a:ln w="25400">
          <a:noFill/>
        </a:ln>
      </c:spPr>
      <c:txPr>
        <a:bodyPr/>
        <a:lstStyle/>
        <a:p>
          <a:pPr>
            <a:defRPr sz="12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no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66" r="0.75000000000000666" t="1" header="0.5" footer="0.5"/>
    <c:pageSetup paperSize="5" orientation="portrait"/>
  </c:printSettings>
</c:chartSpace>
</file>

<file path=xl/ctrlProps/ctrlProp1.xml><?xml version="1.0" encoding="utf-8"?>
<formControlPr xmlns="http://schemas.microsoft.com/office/spreadsheetml/2009/9/main" objectType="Drop" dropStyle="combo" dx="22" fmlaRange="$1:$1048576"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3" inc="2" max="120" min="5" page="10" val="40"/>
</file>

<file path=xl/ctrlProps/ctrlProp5.xml><?xml version="1.0" encoding="utf-8"?>
<formControlPr xmlns="http://schemas.microsoft.com/office/spreadsheetml/2009/9/main" objectType="Spin" dx="16" fmlaLink="$E$7" max="58" page="10" val="6"/>
</file>

<file path=xl/ctrlProps/ctrlProp6.xml><?xml version="1.0" encoding="utf-8"?>
<formControlPr xmlns="http://schemas.microsoft.com/office/spreadsheetml/2009/9/main" objectType="Drop" dropLines="2" dropStyle="combo" dx="16" fmlaLink="'Variable Management'!$O$10" fmlaRange="'Variable Management'!$N$8:$N$9" noThreeD="1" sel="1" val="0"/>
</file>

<file path=xl/ctrlProps/ctrlProp7.xml><?xml version="1.0" encoding="utf-8"?>
<formControlPr xmlns="http://schemas.microsoft.com/office/spreadsheetml/2009/9/main" objectType="Drop" dropLines="2" dropStyle="combo" dx="16" fmlaLink="'Variable Management'!$X$10" fmlaRange="'Variable Management'!$W$8:$W$9" noThreeD="1" sel="1" val="0"/>
</file>

<file path=xl/ctrlProps/ctrlProp8.xml><?xml version="1.0" encoding="utf-8"?>
<formControlPr xmlns="http://schemas.microsoft.com/office/spreadsheetml/2009/9/main" objectType="Drop" dropLines="2" dropStyle="combo" dx="16" fmlaLink="'Variable Management'!$X$15" fmlaRange="'Variable Management'!$W$13:$W$14" noThreeD="1" sel="1" val="0"/>
</file>

<file path=xl/ctrlProps/ctrlProp9.xml><?xml version="1.0" encoding="utf-8"?>
<formControlPr xmlns="http://schemas.microsoft.com/office/spreadsheetml/2009/9/main" objectType="Drop" dropLines="2" dropStyle="combo" dx="16" fmlaLink="'Variable Management'!$AA$21" fmlaRange="'Variable Management'!$Z$19:$Z$20" noThreeD="1" sel="2" val="0"/>
</file>

<file path=xl/ctrlProps/ctrlProp10.xml><?xml version="1.0" encoding="utf-8"?>
<formControlPr xmlns="http://schemas.microsoft.com/office/spreadsheetml/2009/9/main" objectType="Drop" dropLines="2" dropStyle="combo" dx="16" fmlaLink="'Variable Management'!$AA$27" fmlaRange="'Variable Management'!$Z$25:$Z$26" noThreeD="1" sel="1" val="0"/>
</file>

<file path=xl/ctrlProps/ctrlProp11.xml><?xml version="1.0" encoding="utf-8"?>
<formControlPr xmlns="http://schemas.microsoft.com/office/spreadsheetml/2009/9/main" objectType="Drop" dropLines="4" dropStyle="combo" dx="16" fmlaLink="'Variable Management'!$Q$29" fmlaRange="'Variable Management'!$P$25:$P$28" noThreeD="1" sel="4" val="0"/>
</file>

<file path=xl/ctrlProps/ctrlProp12.xml><?xml version="1.0" encoding="utf-8"?>
<formControlPr xmlns="http://schemas.microsoft.com/office/spreadsheetml/2009/9/main" objectType="Drop" dropLines="2" dropStyle="combo" dx="16" fmlaLink="'Variable Management'!$L$10" fmlaRange="'Variable Management'!$K$8:$K$9" noThreeD="1" sel="1" val="0"/>
</file>

<file path=xl/ctrlProps/ctrlProp13.xml><?xml version="1.0" encoding="utf-8"?>
<formControlPr xmlns="http://schemas.microsoft.com/office/spreadsheetml/2009/9/main" objectType="Drop" dropLines="5" dropStyle="combo" dx="16" fmlaLink="'Variable Management'!$U$12" fmlaRange="'Variable Management'!$T$8:$T$11" noThreeD="1" sel="1" val="0"/>
</file>

<file path=xl/ctrlProps/ctrlProp14.xml><?xml version="1.0" encoding="utf-8"?>
<formControlPr xmlns="http://schemas.microsoft.com/office/spreadsheetml/2009/9/main" objectType="Drop" dropLines="2" dropStyle="combo" dx="16" fmlaLink="'Variable Management'!$AA$10" fmlaRange="'Variable Management'!$Z$8:$Z$9" noThreeD="1" sel="1" val="0"/>
</file>

<file path=xl/ctrlProps/ctrlProp15.xml><?xml version="1.0" encoding="utf-8"?>
<formControlPr xmlns="http://schemas.microsoft.com/office/spreadsheetml/2009/9/main" objectType="Drop" dropLines="3" dropStyle="combo" dx="16" fmlaLink="'Variable Management'!$X$28" fmlaRange="'Variable Management'!$W$25:$W$2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6.jpg"/><Relationship Id="rId3" Type="http://schemas.openxmlformats.org/officeDocument/2006/relationships/image" Target="../media/image3.emf"/><Relationship Id="rId7" Type="http://schemas.openxmlformats.org/officeDocument/2006/relationships/image" Target="../media/image5.jpg"/><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hyperlink" Target="http://www.ti.com/power" TargetMode="External"/><Relationship Id="rId5" Type="http://schemas.openxmlformats.org/officeDocument/2006/relationships/image" Target="../media/image4.png"/><Relationship Id="rId4" Type="http://schemas.openxmlformats.org/officeDocument/2006/relationships/hyperlink" Target="http://www.ti.com/product/lm5148-q1"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6.jpg"/><Relationship Id="rId1" Type="http://schemas.openxmlformats.org/officeDocument/2006/relationships/hyperlink" Target="http://www.ti.com/widevin"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6.jpg"/><Relationship Id="rId1" Type="http://schemas.openxmlformats.org/officeDocument/2006/relationships/hyperlink" Target="http://www.ti.com/widevin"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2" Type="http://schemas.openxmlformats.org/officeDocument/2006/relationships/image" Target="../media/image24.jpg"/><Relationship Id="rId1" Type="http://schemas.openxmlformats.org/officeDocument/2006/relationships/image" Target="../media/image2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 Id="rId4" Type="http://schemas.openxmlformats.org/officeDocument/2006/relationships/image" Target="../media/image28.emf"/></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330200</xdr:colOff>
          <xdr:row>70</xdr:row>
          <xdr:rowOff>76200</xdr:rowOff>
        </xdr:from>
        <xdr:to>
          <xdr:col>2</xdr:col>
          <xdr:colOff>901700</xdr:colOff>
          <xdr:row>72</xdr:row>
          <xdr:rowOff>139700</xdr:rowOff>
        </xdr:to>
        <xdr:sp macro="" textlink="">
          <xdr:nvSpPr>
            <xdr:cNvPr id="673260" name="Button 492" hidden="1">
              <a:extLst>
                <a:ext uri="{63B3BB69-23CF-44E3-9099-C40C66FF867C}">
                  <a14:compatExt spid="_x0000_s673260"/>
                </a:ext>
                <a:ext uri="{FF2B5EF4-FFF2-40B4-BE49-F238E27FC236}">
                  <a16:creationId xmlns:a16="http://schemas.microsoft.com/office/drawing/2014/main" id="{00000000-0008-0000-0000-0000EC45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330200</xdr:colOff>
          <xdr:row>70</xdr:row>
          <xdr:rowOff>76200</xdr:rowOff>
        </xdr:from>
        <xdr:to>
          <xdr:col>2</xdr:col>
          <xdr:colOff>901700</xdr:colOff>
          <xdr:row>72</xdr:row>
          <xdr:rowOff>139700</xdr:rowOff>
        </xdr:to>
        <xdr:sp macro="" textlink="">
          <xdr:nvSpPr>
            <xdr:cNvPr id="673288" name="Button 520" hidden="1">
              <a:extLst>
                <a:ext uri="{63B3BB69-23CF-44E3-9099-C40C66FF867C}">
                  <a14:compatExt spid="_x0000_s673288"/>
                </a:ext>
                <a:ext uri="{FF2B5EF4-FFF2-40B4-BE49-F238E27FC236}">
                  <a16:creationId xmlns:a16="http://schemas.microsoft.com/office/drawing/2014/main" id="{00000000-0008-0000-0000-000008460A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000000"/>
                  </a:solidFill>
                  <a:latin typeface="Arial"/>
                  <a:cs typeface="Arial"/>
                </a:rPr>
                <a:t>FIX</a:t>
              </a:r>
            </a:p>
            <a:p>
              <a:pPr algn="ctr" rtl="0">
                <a:defRPr sz="1000"/>
              </a:pPr>
              <a:r>
                <a:rPr 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5480050</xdr:colOff>
          <xdr:row>0</xdr:row>
          <xdr:rowOff>177800</xdr:rowOff>
        </xdr:from>
        <xdr:to>
          <xdr:col>15</xdr:col>
          <xdr:colOff>5861050</xdr:colOff>
          <xdr:row>0</xdr:row>
          <xdr:rowOff>419100</xdr:rowOff>
        </xdr:to>
        <xdr:sp macro="" textlink="">
          <xdr:nvSpPr>
            <xdr:cNvPr id="809785" name="Drop Down 7993" hidden="1">
              <a:extLst>
                <a:ext uri="{63B3BB69-23CF-44E3-9099-C40C66FF867C}">
                  <a14:compatExt spid="_x0000_s809785"/>
                </a:ext>
                <a:ext uri="{FF2B5EF4-FFF2-40B4-BE49-F238E27FC236}">
                  <a16:creationId xmlns:a16="http://schemas.microsoft.com/office/drawing/2014/main" id="{00000000-0008-0000-0000-0000395B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228877</xdr:colOff>
          <xdr:row>42</xdr:row>
          <xdr:rowOff>16188</xdr:rowOff>
        </xdr:from>
        <xdr:to>
          <xdr:col>15</xdr:col>
          <xdr:colOff>3999951</xdr:colOff>
          <xdr:row>70</xdr:row>
          <xdr:rowOff>163416</xdr:rowOff>
        </xdr:to>
        <xdr:pic>
          <xdr:nvPicPr>
            <xdr:cNvPr id="22" name="Picture 1174">
              <a:extLst>
                <a:ext uri="{FF2B5EF4-FFF2-40B4-BE49-F238E27FC236}">
                  <a16:creationId xmlns:a16="http://schemas.microsoft.com/office/drawing/2014/main" id="{00000000-0008-0000-0000-000016000000}"/>
                </a:ext>
              </a:extLst>
            </xdr:cNvPr>
            <xdr:cNvPicPr>
              <a:picLocks noChangeAspect="1" noChangeArrowheads="1"/>
              <a:extLst>
                <a:ext uri="{84589F7E-364E-4C9E-8A38-B11213B215E9}">
                  <a14:cameraTool cellRange="PICTURE3" spid="_x0000_s843548"/>
                </a:ext>
              </a:extLst>
            </xdr:cNvPicPr>
          </xdr:nvPicPr>
          <xdr:blipFill>
            <a:blip xmlns:r="http://schemas.openxmlformats.org/officeDocument/2006/relationships" r:embed="rId1"/>
            <a:srcRect/>
            <a:stretch>
              <a:fillRect/>
            </a:stretch>
          </xdr:blipFill>
          <xdr:spPr bwMode="auto">
            <a:xfrm>
              <a:off x="4938037" y="8268648"/>
              <a:ext cx="8617394" cy="539740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270920</xdr:colOff>
          <xdr:row>76</xdr:row>
          <xdr:rowOff>124506</xdr:rowOff>
        </xdr:from>
        <xdr:to>
          <xdr:col>15</xdr:col>
          <xdr:colOff>5414862</xdr:colOff>
          <xdr:row>105</xdr:row>
          <xdr:rowOff>65295</xdr:rowOff>
        </xdr:to>
        <xdr:pic>
          <xdr:nvPicPr>
            <xdr:cNvPr id="685206" name="Picture 1174">
              <a:extLst>
                <a:ext uri="{FF2B5EF4-FFF2-40B4-BE49-F238E27FC236}">
                  <a16:creationId xmlns:a16="http://schemas.microsoft.com/office/drawing/2014/main" id="{00000000-0008-0000-0000-000096740A00}"/>
                </a:ext>
              </a:extLst>
            </xdr:cNvPr>
            <xdr:cNvPicPr>
              <a:picLocks noChangeAspect="1" noChangeArrowheads="1"/>
              <a:extLst>
                <a:ext uri="{84589F7E-364E-4C9E-8A38-B11213B215E9}">
                  <a14:cameraTool cellRange="PICTURE" spid="_x0000_s843549"/>
                </a:ext>
              </a:extLst>
            </xdr:cNvPicPr>
          </xdr:nvPicPr>
          <xdr:blipFill>
            <a:blip xmlns:r="http://schemas.openxmlformats.org/officeDocument/2006/relationships" r:embed="rId2"/>
            <a:srcRect/>
            <a:stretch>
              <a:fillRect/>
            </a:stretch>
          </xdr:blipFill>
          <xdr:spPr bwMode="auto">
            <a:xfrm>
              <a:off x="5891791" y="14943165"/>
              <a:ext cx="9088412" cy="54182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twoCellAnchor>
    <xdr:from>
      <xdr:col>9</xdr:col>
      <xdr:colOff>265485</xdr:colOff>
      <xdr:row>63</xdr:row>
      <xdr:rowOff>155416</xdr:rowOff>
    </xdr:from>
    <xdr:to>
      <xdr:col>12</xdr:col>
      <xdr:colOff>496584</xdr:colOff>
      <xdr:row>65</xdr:row>
      <xdr:rowOff>40450</xdr:rowOff>
    </xdr:to>
    <xdr:sp macro="" textlink="'Variable Management'!A424">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5848867" y="12472107"/>
          <a:ext cx="2226153" cy="27296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100" b="1" i="0" u="none" strike="noStrike" baseline="0">
              <a:solidFill>
                <a:srgbClr val="FF0000"/>
              </a:solidFill>
              <a:latin typeface="Arial"/>
              <a:cs typeface="Arial"/>
            </a:rPr>
            <a:pPr algn="l" rtl="0">
              <a:defRPr sz="1000"/>
            </a:pPr>
            <a:t>Crossover frequency = 38kHz</a:t>
          </a:fld>
          <a:endParaRPr lang="en-US" sz="1100" b="1" i="0" u="none" strike="noStrike" baseline="0">
            <a:solidFill>
              <a:srgbClr val="FF0000"/>
            </a:solidFill>
            <a:latin typeface="Arial"/>
            <a:cs typeface="Arial"/>
          </a:endParaRPr>
        </a:p>
      </xdr:txBody>
    </xdr:sp>
    <xdr:clientData/>
  </xdr:twoCellAnchor>
  <xdr:twoCellAnchor>
    <xdr:from>
      <xdr:col>9</xdr:col>
      <xdr:colOff>278598</xdr:colOff>
      <xdr:row>65</xdr:row>
      <xdr:rowOff>8066</xdr:rowOff>
    </xdr:from>
    <xdr:to>
      <xdr:col>11</xdr:col>
      <xdr:colOff>547251</xdr:colOff>
      <xdr:row>66</xdr:row>
      <xdr:rowOff>113718</xdr:rowOff>
    </xdr:to>
    <xdr:sp macro="" textlink="'Variable Management'!A425">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5861980" y="12712684"/>
          <a:ext cx="1640253" cy="299616"/>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100" b="1" i="0" u="none" strike="noStrike" baseline="0">
              <a:solidFill>
                <a:srgbClr val="002060"/>
              </a:solidFill>
              <a:latin typeface="Arial"/>
              <a:cs typeface="Arial"/>
            </a:rPr>
            <a:pPr algn="l" rtl="0">
              <a:defRPr sz="1000"/>
            </a:pPr>
            <a:t>Phase margin = 50°</a:t>
          </a:fld>
          <a:endParaRPr lang="en-US" sz="1100" b="1" i="0" u="none" strike="noStrike" baseline="0">
            <a:solidFill>
              <a:srgbClr val="00206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5</xdr:col>
          <xdr:colOff>25400</xdr:colOff>
          <xdr:row>62</xdr:row>
          <xdr:rowOff>0</xdr:rowOff>
        </xdr:from>
        <xdr:to>
          <xdr:col>5</xdr:col>
          <xdr:colOff>184150</xdr:colOff>
          <xdr:row>62</xdr:row>
          <xdr:rowOff>184150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139700</xdr:colOff>
          <xdr:row>6</xdr:row>
          <xdr:rowOff>25400</xdr:rowOff>
        </xdr:from>
        <xdr:to>
          <xdr:col>5</xdr:col>
          <xdr:colOff>304800</xdr:colOff>
          <xdr:row>7</xdr:row>
          <xdr:rowOff>25400</xdr:rowOff>
        </xdr:to>
        <xdr:sp macro="" textlink="">
          <xdr:nvSpPr>
            <xdr:cNvPr id="672895" name="Spinner 127" hidden="1">
              <a:extLst>
                <a:ext uri="{63B3BB69-23CF-44E3-9099-C40C66FF867C}">
                  <a14:compatExt spid="_x0000_s672895"/>
                </a:ext>
                <a:ext uri="{FF2B5EF4-FFF2-40B4-BE49-F238E27FC236}">
                  <a16:creationId xmlns:a16="http://schemas.microsoft.com/office/drawing/2014/main" id="{00000000-0008-0000-0000-00007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146050</xdr:colOff>
          <xdr:row>50</xdr:row>
          <xdr:rowOff>63500</xdr:rowOff>
        </xdr:from>
        <xdr:to>
          <xdr:col>3</xdr:col>
          <xdr:colOff>450850</xdr:colOff>
          <xdr:row>51</xdr:row>
          <xdr:rowOff>139700</xdr:rowOff>
        </xdr:to>
        <xdr:sp macro="" textlink="">
          <xdr:nvSpPr>
            <xdr:cNvPr id="673029" name="Drop Down 261" hidden="1">
              <a:extLst>
                <a:ext uri="{63B3BB69-23CF-44E3-9099-C40C66FF867C}">
                  <a14:compatExt spid="_x0000_s673029"/>
                </a:ext>
                <a:ext uri="{FF2B5EF4-FFF2-40B4-BE49-F238E27FC236}">
                  <a16:creationId xmlns:a16="http://schemas.microsoft.com/office/drawing/2014/main" id="{00000000-0008-0000-0000-0000054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233354</xdr:colOff>
          <xdr:row>5</xdr:row>
          <xdr:rowOff>3569</xdr:rowOff>
        </xdr:from>
        <xdr:to>
          <xdr:col>15</xdr:col>
          <xdr:colOff>4080910</xdr:colOff>
          <xdr:row>30</xdr:row>
          <xdr:rowOff>80952</xdr:rowOff>
        </xdr:to>
        <xdr:pic>
          <xdr:nvPicPr>
            <xdr:cNvPr id="685207" name="Picture 1175">
              <a:extLst>
                <a:ext uri="{FF2B5EF4-FFF2-40B4-BE49-F238E27FC236}">
                  <a16:creationId xmlns:a16="http://schemas.microsoft.com/office/drawing/2014/main" id="{00000000-0008-0000-0000-000097740A00}"/>
                </a:ext>
              </a:extLst>
            </xdr:cNvPr>
            <xdr:cNvPicPr>
              <a:picLocks noChangeAspect="1" noChangeArrowheads="1"/>
              <a:extLst>
                <a:ext uri="{84589F7E-364E-4C9E-8A38-B11213B215E9}">
                  <a14:cameraTool cellRange="PICTURE2" spid="_x0000_s843550"/>
                </a:ext>
              </a:extLst>
            </xdr:cNvPicPr>
          </xdr:nvPicPr>
          <xdr:blipFill>
            <a:blip xmlns:r="http://schemas.openxmlformats.org/officeDocument/2006/relationships" r:embed="rId3"/>
            <a:srcRect/>
            <a:stretch>
              <a:fillRect/>
            </a:stretch>
          </xdr:blipFill>
          <xdr:spPr bwMode="auto">
            <a:xfrm>
              <a:off x="4823283" y="1411028"/>
              <a:ext cx="8580921" cy="4909359"/>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editAs="oneCell">
    <xdr:from>
      <xdr:col>15</xdr:col>
      <xdr:colOff>3485611</xdr:colOff>
      <xdr:row>32</xdr:row>
      <xdr:rowOff>34869</xdr:rowOff>
    </xdr:from>
    <xdr:to>
      <xdr:col>15</xdr:col>
      <xdr:colOff>5756269</xdr:colOff>
      <xdr:row>40</xdr:row>
      <xdr:rowOff>80277</xdr:rowOff>
    </xdr:to>
    <xdr:pic>
      <xdr:nvPicPr>
        <xdr:cNvPr id="3" name="Picture 2">
          <a:hlinkClick xmlns:r="http://schemas.openxmlformats.org/officeDocument/2006/relationships" r:id="rId4"/>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792897" y="6424783"/>
          <a:ext cx="2274468" cy="1466266"/>
        </a:xfrm>
        <a:prstGeom prst="rect">
          <a:avLst/>
        </a:prstGeom>
      </xdr:spPr>
    </xdr:pic>
    <xdr:clientData/>
  </xdr:twoCellAnchor>
  <xdr:twoCellAnchor editAs="oneCell">
    <xdr:from>
      <xdr:col>15</xdr:col>
      <xdr:colOff>4051935</xdr:colOff>
      <xdr:row>0</xdr:row>
      <xdr:rowOff>0</xdr:rowOff>
    </xdr:from>
    <xdr:to>
      <xdr:col>16</xdr:col>
      <xdr:colOff>1904</xdr:colOff>
      <xdr:row>4</xdr:row>
      <xdr:rowOff>34290</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357860" y="0"/>
          <a:ext cx="1882139" cy="1158240"/>
        </a:xfrm>
        <a:prstGeom prst="rect">
          <a:avLst/>
        </a:prstGeom>
      </xdr:spPr>
    </xdr:pic>
    <xdr:clientData/>
  </xdr:twoCellAnchor>
  <xdr:twoCellAnchor editAs="oneCell">
    <xdr:from>
      <xdr:col>0</xdr:col>
      <xdr:colOff>9525</xdr:colOff>
      <xdr:row>0</xdr:row>
      <xdr:rowOff>9525</xdr:rowOff>
    </xdr:from>
    <xdr:to>
      <xdr:col>3</xdr:col>
      <xdr:colOff>148590</xdr:colOff>
      <xdr:row>1</xdr:row>
      <xdr:rowOff>3463</xdr:rowOff>
    </xdr:to>
    <xdr:pic>
      <xdr:nvPicPr>
        <xdr:cNvPr id="6" name="Picture 5">
          <a:hlinkClick xmlns:r="http://schemas.openxmlformats.org/officeDocument/2006/relationships" r:id="rId4"/>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9525" y="9525"/>
          <a:ext cx="2143125" cy="58448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69850</xdr:colOff>
          <xdr:row>50</xdr:row>
          <xdr:rowOff>63500</xdr:rowOff>
        </xdr:from>
        <xdr:to>
          <xdr:col>5</xdr:col>
          <xdr:colOff>336550</xdr:colOff>
          <xdr:row>51</xdr:row>
          <xdr:rowOff>139700</xdr:rowOff>
        </xdr:to>
        <xdr:sp macro="" textlink="">
          <xdr:nvSpPr>
            <xdr:cNvPr id="685442" name="Drop Down 1410" hidden="1">
              <a:extLst>
                <a:ext uri="{63B3BB69-23CF-44E3-9099-C40C66FF867C}">
                  <a14:compatExt spid="_x0000_s685442"/>
                </a:ext>
                <a:ext uri="{FF2B5EF4-FFF2-40B4-BE49-F238E27FC236}">
                  <a16:creationId xmlns:a16="http://schemas.microsoft.com/office/drawing/2014/main" id="{00000000-0008-0000-0000-0000827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3493770</xdr:colOff>
      <xdr:row>79</xdr:row>
      <xdr:rowOff>156999</xdr:rowOff>
    </xdr:from>
    <xdr:to>
      <xdr:col>15</xdr:col>
      <xdr:colOff>3915713</xdr:colOff>
      <xdr:row>81</xdr:row>
      <xdr:rowOff>29364</xdr:rowOff>
    </xdr:to>
    <xdr:sp macro="" textlink="'Variable Management'!$B$428">
      <xdr:nvSpPr>
        <xdr:cNvPr id="23" name="Text Box 24">
          <a:extLst>
            <a:ext uri="{FF2B5EF4-FFF2-40B4-BE49-F238E27FC236}">
              <a16:creationId xmlns:a16="http://schemas.microsoft.com/office/drawing/2014/main" id="{00000000-0008-0000-0000-000017000000}"/>
            </a:ext>
          </a:extLst>
        </xdr:cNvPr>
        <xdr:cNvSpPr txBox="1">
          <a:spLocks noChangeArrowheads="1" noTextEdit="1"/>
        </xdr:cNvSpPr>
      </xdr:nvSpPr>
      <xdr:spPr bwMode="auto">
        <a:xfrm>
          <a:off x="13034010" y="15137919"/>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88.8%</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15</xdr:col>
      <xdr:colOff>411480</xdr:colOff>
      <xdr:row>79</xdr:row>
      <xdr:rowOff>162714</xdr:rowOff>
    </xdr:from>
    <xdr:to>
      <xdr:col>15</xdr:col>
      <xdr:colOff>833423</xdr:colOff>
      <xdr:row>81</xdr:row>
      <xdr:rowOff>35079</xdr:rowOff>
    </xdr:to>
    <xdr:sp macro="" textlink="'Variable Management'!$B$429">
      <xdr:nvSpPr>
        <xdr:cNvPr id="24" name="Text Box 24">
          <a:extLst>
            <a:ext uri="{FF2B5EF4-FFF2-40B4-BE49-F238E27FC236}">
              <a16:creationId xmlns:a16="http://schemas.microsoft.com/office/drawing/2014/main" id="{00000000-0008-0000-0000-000018000000}"/>
            </a:ext>
          </a:extLst>
        </xdr:cNvPr>
        <xdr:cNvSpPr txBox="1">
          <a:spLocks noChangeArrowheads="1" noTextEdit="1"/>
        </xdr:cNvSpPr>
      </xdr:nvSpPr>
      <xdr:spPr bwMode="auto">
        <a:xfrm>
          <a:off x="9951720" y="15143634"/>
          <a:ext cx="421943" cy="230505"/>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93B0AF30-6523-4122-9521-75B00DB91745}" type="TxLink">
            <a:rPr lang="en-US" sz="1000" b="0" i="0" u="none" strike="noStrike" baseline="0">
              <a:solidFill>
                <a:srgbClr val="000000"/>
              </a:solidFill>
              <a:latin typeface="Arial"/>
              <a:cs typeface="Arial"/>
            </a:rPr>
            <a:pPr algn="l" rtl="0">
              <a:defRPr sz="1000"/>
            </a:pPr>
            <a:t>84.2%</a:t>
          </a:fld>
          <a:endParaRPr lang="en-US" sz="900" b="1"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25400</xdr:colOff>
          <xdr:row>101</xdr:row>
          <xdr:rowOff>0</xdr:rowOff>
        </xdr:from>
        <xdr:to>
          <xdr:col>2</xdr:col>
          <xdr:colOff>25400</xdr:colOff>
          <xdr:row>102</xdr:row>
          <xdr:rowOff>0</xdr:rowOff>
        </xdr:to>
        <xdr:sp macro="" textlink="">
          <xdr:nvSpPr>
            <xdr:cNvPr id="685906" name="Drop Down 1874" hidden="1">
              <a:extLst>
                <a:ext uri="{63B3BB69-23CF-44E3-9099-C40C66FF867C}">
                  <a14:compatExt spid="_x0000_s685906"/>
                </a:ext>
                <a:ext uri="{FF2B5EF4-FFF2-40B4-BE49-F238E27FC236}">
                  <a16:creationId xmlns:a16="http://schemas.microsoft.com/office/drawing/2014/main" id="{00000000-0008-0000-0000-00005277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808966</xdr:colOff>
      <xdr:row>25</xdr:row>
      <xdr:rowOff>102425</xdr:rowOff>
    </xdr:from>
    <xdr:to>
      <xdr:col>11</xdr:col>
      <xdr:colOff>409761</xdr:colOff>
      <xdr:row>27</xdr:row>
      <xdr:rowOff>18374</xdr:rowOff>
    </xdr:to>
    <xdr:sp macro="" textlink="'Variable Management'!B409">
      <xdr:nvSpPr>
        <xdr:cNvPr id="36" name="Text Box 262">
          <a:extLst>
            <a:ext uri="{FF2B5EF4-FFF2-40B4-BE49-F238E27FC236}">
              <a16:creationId xmlns:a16="http://schemas.microsoft.com/office/drawing/2014/main" id="{00000000-0008-0000-0000-000024000000}"/>
            </a:ext>
          </a:extLst>
        </xdr:cNvPr>
        <xdr:cNvSpPr txBox="1">
          <a:spLocks noChangeArrowheads="1" noTextEdit="1"/>
        </xdr:cNvSpPr>
      </xdr:nvSpPr>
      <xdr:spPr bwMode="auto">
        <a:xfrm>
          <a:off x="6957518" y="5252494"/>
          <a:ext cx="452133" cy="252280"/>
        </a:xfrm>
        <a:prstGeom prst="rect">
          <a:avLst/>
        </a:prstGeom>
        <a:noFill/>
        <a:ln w="9525">
          <a:noFill/>
          <a:miter lim="800000"/>
          <a:headEnd/>
          <a:tailEnd/>
        </a:ln>
      </xdr:spPr>
      <xdr:txBody>
        <a:bodyPr vertOverflow="clip" wrap="square" lIns="27432" tIns="22860" rIns="0" bIns="0" anchor="ctr"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N/A</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9</xdr:col>
      <xdr:colOff>291960</xdr:colOff>
      <xdr:row>24</xdr:row>
      <xdr:rowOff>126514</xdr:rowOff>
    </xdr:from>
    <xdr:to>
      <xdr:col>10</xdr:col>
      <xdr:colOff>407471</xdr:colOff>
      <xdr:row>25</xdr:row>
      <xdr:rowOff>138242</xdr:rowOff>
    </xdr:to>
    <xdr:sp macro="" textlink="'Variable Management'!B407">
      <xdr:nvSpPr>
        <xdr:cNvPr id="37" name="Text Box 263">
          <a:extLst>
            <a:ext uri="{FF2B5EF4-FFF2-40B4-BE49-F238E27FC236}">
              <a16:creationId xmlns:a16="http://schemas.microsoft.com/office/drawing/2014/main" id="{00000000-0008-0000-0000-000025000000}"/>
            </a:ext>
          </a:extLst>
        </xdr:cNvPr>
        <xdr:cNvSpPr txBox="1">
          <a:spLocks noChangeArrowheads="1" noTextEdit="1"/>
        </xdr:cNvSpPr>
      </xdr:nvSpPr>
      <xdr:spPr bwMode="auto">
        <a:xfrm>
          <a:off x="5920250" y="5034845"/>
          <a:ext cx="635773" cy="25346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45.3kΩ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3133628</xdr:colOff>
      <xdr:row>15</xdr:row>
      <xdr:rowOff>59531</xdr:rowOff>
    </xdr:from>
    <xdr:to>
      <xdr:col>15</xdr:col>
      <xdr:colOff>3629712</xdr:colOff>
      <xdr:row>16</xdr:row>
      <xdr:rowOff>98231</xdr:rowOff>
    </xdr:to>
    <xdr:sp macro="" textlink="'Variable Management'!B397">
      <xdr:nvSpPr>
        <xdr:cNvPr id="39" name="Text Box 267">
          <a:extLst>
            <a:ext uri="{FF2B5EF4-FFF2-40B4-BE49-F238E27FC236}">
              <a16:creationId xmlns:a16="http://schemas.microsoft.com/office/drawing/2014/main" id="{00000000-0008-0000-0000-000027000000}"/>
            </a:ext>
          </a:extLst>
        </xdr:cNvPr>
        <xdr:cNvSpPr txBox="1">
          <a:spLocks noChangeArrowheads="1" noTextEdit="1"/>
        </xdr:cNvSpPr>
      </xdr:nvSpPr>
      <xdr:spPr bwMode="auto">
        <a:xfrm>
          <a:off x="12705520" y="3347854"/>
          <a:ext cx="496084" cy="232131"/>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200µF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1837592</xdr:colOff>
      <xdr:row>14</xdr:row>
      <xdr:rowOff>17964</xdr:rowOff>
    </xdr:from>
    <xdr:to>
      <xdr:col>15</xdr:col>
      <xdr:colOff>2333341</xdr:colOff>
      <xdr:row>14</xdr:row>
      <xdr:rowOff>241555</xdr:rowOff>
    </xdr:to>
    <xdr:sp macro="" textlink="'Variable Management'!B379">
      <xdr:nvSpPr>
        <xdr:cNvPr id="40" name="Text Box 275">
          <a:extLst>
            <a:ext uri="{FF2B5EF4-FFF2-40B4-BE49-F238E27FC236}">
              <a16:creationId xmlns:a16="http://schemas.microsoft.com/office/drawing/2014/main" id="{00000000-0008-0000-0000-000028000000}"/>
            </a:ext>
          </a:extLst>
        </xdr:cNvPr>
        <xdr:cNvSpPr txBox="1">
          <a:spLocks noChangeArrowheads="1" noTextEdit="1"/>
        </xdr:cNvSpPr>
      </xdr:nvSpPr>
      <xdr:spPr bwMode="auto">
        <a:xfrm>
          <a:off x="11409484" y="3054241"/>
          <a:ext cx="495749" cy="22359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6.8µH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2067626</xdr:colOff>
      <xdr:row>8</xdr:row>
      <xdr:rowOff>50997</xdr:rowOff>
    </xdr:from>
    <xdr:to>
      <xdr:col>15</xdr:col>
      <xdr:colOff>2561649</xdr:colOff>
      <xdr:row>9</xdr:row>
      <xdr:rowOff>136349</xdr:rowOff>
    </xdr:to>
    <xdr:sp macro="" textlink="'Variable Management'!B401">
      <xdr:nvSpPr>
        <xdr:cNvPr id="41" name="Text Box 276">
          <a:extLst>
            <a:ext uri="{FF2B5EF4-FFF2-40B4-BE49-F238E27FC236}">
              <a16:creationId xmlns:a16="http://schemas.microsoft.com/office/drawing/2014/main" id="{00000000-0008-0000-0000-000029000000}"/>
            </a:ext>
          </a:extLst>
        </xdr:cNvPr>
        <xdr:cNvSpPr txBox="1">
          <a:spLocks noChangeArrowheads="1" noTextEdit="1"/>
        </xdr:cNvSpPr>
      </xdr:nvSpPr>
      <xdr:spPr bwMode="auto">
        <a:xfrm>
          <a:off x="11639518" y="1985305"/>
          <a:ext cx="494023" cy="255336"/>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000" b="0" i="0" u="none" strike="noStrike" baseline="0">
              <a:solidFill>
                <a:srgbClr val="000000"/>
              </a:solidFill>
              <a:latin typeface="Arial" pitchFamily="34" charset="0"/>
              <a:cs typeface="Arial" pitchFamily="34" charset="0"/>
            </a:rPr>
            <a:pPr algn="ctr" rtl="0">
              <a:defRPr sz="1000"/>
            </a:pPr>
            <a:t>30µF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15</xdr:col>
      <xdr:colOff>3227835</xdr:colOff>
      <xdr:row>11</xdr:row>
      <xdr:rowOff>48221</xdr:rowOff>
    </xdr:from>
    <xdr:to>
      <xdr:col>15</xdr:col>
      <xdr:colOff>3838088</xdr:colOff>
      <xdr:row>12</xdr:row>
      <xdr:rowOff>153978</xdr:rowOff>
    </xdr:to>
    <xdr:sp macro="" textlink="'Variable Management'!B395">
      <xdr:nvSpPr>
        <xdr:cNvPr id="43" name="Text Box 285">
          <a:extLst>
            <a:ext uri="{FF2B5EF4-FFF2-40B4-BE49-F238E27FC236}">
              <a16:creationId xmlns:a16="http://schemas.microsoft.com/office/drawing/2014/main" id="{00000000-0008-0000-0000-00002B000000}"/>
            </a:ext>
          </a:extLst>
        </xdr:cNvPr>
        <xdr:cNvSpPr txBox="1">
          <a:spLocks noChangeArrowheads="1" noTextEdit="1"/>
        </xdr:cNvSpPr>
      </xdr:nvSpPr>
      <xdr:spPr bwMode="auto">
        <a:xfrm>
          <a:off x="12799727" y="2492483"/>
          <a:ext cx="610253" cy="275741"/>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100" b="1" i="0" u="none" strike="noStrike" baseline="0">
              <a:solidFill>
                <a:srgbClr val="FF0000"/>
              </a:solidFill>
              <a:latin typeface="Arial" pitchFamily="34" charset="0"/>
              <a:cs typeface="Arial" pitchFamily="34" charset="0"/>
            </a:rPr>
            <a:pPr algn="l" rtl="0">
              <a:defRPr sz="1000"/>
            </a:pPr>
            <a:t>3.3V</a:t>
          </a:fld>
          <a:endParaRPr lang="en-US" sz="1100" b="1" i="0" u="none" strike="noStrike" baseline="0">
            <a:solidFill>
              <a:srgbClr val="FF0000"/>
            </a:solidFill>
            <a:latin typeface="Arial" pitchFamily="34" charset="0"/>
            <a:cs typeface="Arial" pitchFamily="34" charset="0"/>
          </a:endParaRPr>
        </a:p>
      </xdr:txBody>
    </xdr:sp>
    <xdr:clientData/>
  </xdr:twoCellAnchor>
  <xdr:twoCellAnchor editAs="absolute">
    <xdr:from>
      <xdr:col>15</xdr:col>
      <xdr:colOff>3225429</xdr:colOff>
      <xdr:row>12</xdr:row>
      <xdr:rowOff>124573</xdr:rowOff>
    </xdr:from>
    <xdr:to>
      <xdr:col>15</xdr:col>
      <xdr:colOff>3643985</xdr:colOff>
      <xdr:row>13</xdr:row>
      <xdr:rowOff>162140</xdr:rowOff>
    </xdr:to>
    <xdr:sp macro="" textlink="'Variable Management'!B448">
      <xdr:nvSpPr>
        <xdr:cNvPr id="44" name="Text Box 286">
          <a:extLst>
            <a:ext uri="{FF2B5EF4-FFF2-40B4-BE49-F238E27FC236}">
              <a16:creationId xmlns:a16="http://schemas.microsoft.com/office/drawing/2014/main" id="{00000000-0008-0000-0000-00002C000000}"/>
            </a:ext>
          </a:extLst>
        </xdr:cNvPr>
        <xdr:cNvSpPr txBox="1">
          <a:spLocks noChangeArrowheads="1" noTextEdit="1"/>
        </xdr:cNvSpPr>
      </xdr:nvSpPr>
      <xdr:spPr bwMode="auto">
        <a:xfrm>
          <a:off x="12797321" y="2738819"/>
          <a:ext cx="418556" cy="248583"/>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100" b="1" i="0" u="none" strike="noStrike">
              <a:solidFill>
                <a:srgbClr val="FF0000"/>
              </a:solidFill>
              <a:latin typeface="Arial" pitchFamily="34" charset="0"/>
              <a:cs typeface="Arial" pitchFamily="34" charset="0"/>
            </a:rPr>
            <a:pPr algn="l" rtl="0">
              <a:defRPr sz="1000"/>
            </a:pPr>
            <a:t>1.5A</a:t>
          </a:fld>
          <a:endParaRPr lang="en-US" sz="1100" b="1" i="0" strike="noStrike">
            <a:solidFill>
              <a:srgbClr val="FF0000"/>
            </a:solidFill>
            <a:latin typeface="Arial" pitchFamily="34" charset="0"/>
            <a:cs typeface="Arial" pitchFamily="34" charset="0"/>
          </a:endParaRPr>
        </a:p>
      </xdr:txBody>
    </xdr:sp>
    <xdr:clientData/>
  </xdr:twoCellAnchor>
  <xdr:twoCellAnchor editAs="absolute">
    <xdr:from>
      <xdr:col>15</xdr:col>
      <xdr:colOff>2372103</xdr:colOff>
      <xdr:row>12</xdr:row>
      <xdr:rowOff>173205</xdr:rowOff>
    </xdr:from>
    <xdr:to>
      <xdr:col>15</xdr:col>
      <xdr:colOff>2828283</xdr:colOff>
      <xdr:row>13</xdr:row>
      <xdr:rowOff>204628</xdr:rowOff>
    </xdr:to>
    <xdr:sp macro="" textlink="'Variable Management'!B381">
      <xdr:nvSpPr>
        <xdr:cNvPr id="49" name="Text Box 275">
          <a:extLst>
            <a:ext uri="{FF2B5EF4-FFF2-40B4-BE49-F238E27FC236}">
              <a16:creationId xmlns:a16="http://schemas.microsoft.com/office/drawing/2014/main" id="{00000000-0008-0000-0000-000031000000}"/>
            </a:ext>
          </a:extLst>
        </xdr:cNvPr>
        <xdr:cNvSpPr txBox="1">
          <a:spLocks noChangeArrowheads="1" noTextEdit="1"/>
        </xdr:cNvSpPr>
      </xdr:nvSpPr>
      <xdr:spPr bwMode="auto">
        <a:xfrm>
          <a:off x="11943995" y="2787451"/>
          <a:ext cx="456180" cy="242439"/>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25mΩ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9</xdr:col>
      <xdr:colOff>410523</xdr:colOff>
      <xdr:row>26</xdr:row>
      <xdr:rowOff>137173</xdr:rowOff>
    </xdr:from>
    <xdr:to>
      <xdr:col>10</xdr:col>
      <xdr:colOff>304313</xdr:colOff>
      <xdr:row>28</xdr:row>
      <xdr:rowOff>50975</xdr:rowOff>
    </xdr:to>
    <xdr:sp macro="" textlink="'Variable Management'!B408">
      <xdr:nvSpPr>
        <xdr:cNvPr id="53" name="Text Box 261">
          <a:extLst>
            <a:ext uri="{FF2B5EF4-FFF2-40B4-BE49-F238E27FC236}">
              <a16:creationId xmlns:a16="http://schemas.microsoft.com/office/drawing/2014/main" id="{00000000-0008-0000-0000-000035000000}"/>
            </a:ext>
          </a:extLst>
        </xdr:cNvPr>
        <xdr:cNvSpPr txBox="1">
          <a:spLocks noChangeArrowheads="1" noTextEdit="1"/>
        </xdr:cNvSpPr>
      </xdr:nvSpPr>
      <xdr:spPr bwMode="auto">
        <a:xfrm>
          <a:off x="6038813" y="5455407"/>
          <a:ext cx="414052" cy="250134"/>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0.82nF</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11</xdr:col>
      <xdr:colOff>157074</xdr:colOff>
      <xdr:row>27</xdr:row>
      <xdr:rowOff>32820</xdr:rowOff>
    </xdr:from>
    <xdr:to>
      <xdr:col>12</xdr:col>
      <xdr:colOff>118722</xdr:colOff>
      <xdr:row>28</xdr:row>
      <xdr:rowOff>104903</xdr:rowOff>
    </xdr:to>
    <xdr:sp macro="" textlink="'Variable Management'!B443">
      <xdr:nvSpPr>
        <xdr:cNvPr id="71" name="Text Box 281">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7155751" y="5548528"/>
          <a:ext cx="588833" cy="242067"/>
        </a:xfrm>
        <a:prstGeom prst="rect">
          <a:avLst/>
        </a:prstGeom>
        <a:noFill/>
        <a:ln w="9525">
          <a:noFill/>
          <a:miter lim="800000"/>
          <a:headEnd/>
          <a:tailEnd/>
        </a:ln>
      </xdr:spPr>
      <xdr:txBody>
        <a:bodyPr vertOverflow="clip" wrap="square" lIns="27432" tIns="22860" rIns="0" bIns="0" anchor="t" upright="1"/>
        <a:lstStyle/>
        <a:p>
          <a:pPr algn="ctr" rtl="0">
            <a:defRPr sz="1000"/>
          </a:pPr>
          <a:fld id="{040E05FC-A7F4-4D23-BCC4-309E85A2CCCA}" type="TxLink">
            <a:rPr lang="en-US" sz="1000" b="0" i="0" u="none" strike="noStrike">
              <a:solidFill>
                <a:srgbClr val="000000"/>
              </a:solidFill>
              <a:latin typeface="Arial" panose="020B0604020202020204" pitchFamily="34" charset="0"/>
              <a:cs typeface="Arial" panose="020B0604020202020204" pitchFamily="34" charset="0"/>
            </a:rPr>
            <a:pPr algn="ctr" rtl="0">
              <a:defRPr sz="1000"/>
            </a:pPr>
            <a:t>53.6kΩ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10</xdr:col>
      <xdr:colOff>96889</xdr:colOff>
      <xdr:row>17</xdr:row>
      <xdr:rowOff>142326</xdr:rowOff>
    </xdr:from>
    <xdr:to>
      <xdr:col>10</xdr:col>
      <xdr:colOff>631702</xdr:colOff>
      <xdr:row>19</xdr:row>
      <xdr:rowOff>22118</xdr:rowOff>
    </xdr:to>
    <xdr:sp macro="" textlink="'Variable Management'!B417">
      <xdr:nvSpPr>
        <xdr:cNvPr id="95" name="Text Box 263">
          <a:extLst>
            <a:ext uri="{FF2B5EF4-FFF2-40B4-BE49-F238E27FC236}">
              <a16:creationId xmlns:a16="http://schemas.microsoft.com/office/drawing/2014/main" id="{00000000-0008-0000-0000-00005F000000}"/>
            </a:ext>
          </a:extLst>
        </xdr:cNvPr>
        <xdr:cNvSpPr txBox="1">
          <a:spLocks noChangeArrowheads="1" noTextEdit="1"/>
        </xdr:cNvSpPr>
      </xdr:nvSpPr>
      <xdr:spPr bwMode="auto">
        <a:xfrm>
          <a:off x="6239781" y="3817511"/>
          <a:ext cx="534813" cy="225622"/>
        </a:xfrm>
        <a:prstGeom prst="rect">
          <a:avLst/>
        </a:prstGeom>
        <a:noFill/>
        <a:ln w="9525">
          <a:noFill/>
          <a:miter lim="800000"/>
          <a:headEnd/>
          <a:tailEnd/>
        </a:ln>
      </xdr:spPr>
      <xdr:txBody>
        <a:bodyPr vertOverflow="clip" wrap="square" lIns="27432" tIns="22860" rIns="0" bIns="0" anchor="t" upright="1"/>
        <a:lstStyle/>
        <a:p>
          <a:pPr algn="r" rtl="0">
            <a:defRPr sz="1000"/>
          </a:pPr>
          <a:fld id="{E7CFC31C-4225-4DFF-A445-15835378F2C7}"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10</xdr:col>
      <xdr:colOff>82424</xdr:colOff>
      <xdr:row>20</xdr:row>
      <xdr:rowOff>148157</xdr:rowOff>
    </xdr:from>
    <xdr:to>
      <xdr:col>10</xdr:col>
      <xdr:colOff>653836</xdr:colOff>
      <xdr:row>22</xdr:row>
      <xdr:rowOff>33747</xdr:rowOff>
    </xdr:to>
    <xdr:sp macro="" textlink="'Variable Management'!B418">
      <xdr:nvSpPr>
        <xdr:cNvPr id="96" name="Text Box 263">
          <a:extLst>
            <a:ext uri="{FF2B5EF4-FFF2-40B4-BE49-F238E27FC236}">
              <a16:creationId xmlns:a16="http://schemas.microsoft.com/office/drawing/2014/main" id="{00000000-0008-0000-0000-000060000000}"/>
            </a:ext>
          </a:extLst>
        </xdr:cNvPr>
        <xdr:cNvSpPr txBox="1">
          <a:spLocks noChangeArrowheads="1" noTextEdit="1"/>
        </xdr:cNvSpPr>
      </xdr:nvSpPr>
      <xdr:spPr bwMode="auto">
        <a:xfrm>
          <a:off x="6225316" y="4345019"/>
          <a:ext cx="571412" cy="237282"/>
        </a:xfrm>
        <a:prstGeom prst="rect">
          <a:avLst/>
        </a:prstGeom>
        <a:noFill/>
        <a:ln w="9525">
          <a:noFill/>
          <a:miter lim="800000"/>
          <a:headEnd/>
          <a:tailEnd/>
        </a:ln>
      </xdr:spPr>
      <xdr:txBody>
        <a:bodyPr vertOverflow="clip" wrap="square" lIns="27432" tIns="22860" rIns="0" bIns="0" anchor="t" upright="1"/>
        <a:lstStyle/>
        <a:p>
          <a:pPr algn="r" rtl="0">
            <a:defRPr sz="1000"/>
          </a:pPr>
          <a:fld id="{3474E4CD-1870-4A36-820F-F9FFA24B283F}"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228600</xdr:colOff>
          <xdr:row>58</xdr:row>
          <xdr:rowOff>177800</xdr:rowOff>
        </xdr:from>
        <xdr:to>
          <xdr:col>6</xdr:col>
          <xdr:colOff>0</xdr:colOff>
          <xdr:row>59</xdr:row>
          <xdr:rowOff>234950</xdr:rowOff>
        </xdr:to>
        <xdr:sp macro="" textlink="">
          <xdr:nvSpPr>
            <xdr:cNvPr id="700305" name="Drop Down 2961" hidden="1">
              <a:extLst>
                <a:ext uri="{63B3BB69-23CF-44E3-9099-C40C66FF867C}">
                  <a14:compatExt spid="_x0000_s700305"/>
                </a:ext>
                <a:ext uri="{FF2B5EF4-FFF2-40B4-BE49-F238E27FC236}">
                  <a16:creationId xmlns:a16="http://schemas.microsoft.com/office/drawing/2014/main" id="{00000000-0008-0000-0000-000091AF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164682</xdr:colOff>
      <xdr:row>27</xdr:row>
      <xdr:rowOff>28100</xdr:rowOff>
    </xdr:from>
    <xdr:to>
      <xdr:col>13</xdr:col>
      <xdr:colOff>88364</xdr:colOff>
      <xdr:row>28</xdr:row>
      <xdr:rowOff>74468</xdr:rowOff>
    </xdr:to>
    <xdr:sp macro="" textlink="'Variable Management'!B442">
      <xdr:nvSpPr>
        <xdr:cNvPr id="68" name="Text Box 263">
          <a:extLst>
            <a:ext uri="{FF2B5EF4-FFF2-40B4-BE49-F238E27FC236}">
              <a16:creationId xmlns:a16="http://schemas.microsoft.com/office/drawing/2014/main" id="{00000000-0008-0000-0000-000044000000}"/>
            </a:ext>
          </a:extLst>
        </xdr:cNvPr>
        <xdr:cNvSpPr txBox="1">
          <a:spLocks noChangeArrowheads="1" noTextEdit="1"/>
        </xdr:cNvSpPr>
      </xdr:nvSpPr>
      <xdr:spPr bwMode="auto">
        <a:xfrm>
          <a:off x="7790544" y="5543808"/>
          <a:ext cx="550866" cy="216352"/>
        </a:xfrm>
        <a:prstGeom prst="rect">
          <a:avLst/>
        </a:prstGeom>
        <a:noFill/>
        <a:ln w="9525">
          <a:noFill/>
          <a:miter lim="800000"/>
          <a:headEnd/>
          <a:tailEnd/>
        </a:ln>
      </xdr:spPr>
      <xdr:txBody>
        <a:bodyPr vertOverflow="clip" wrap="square" lIns="27432" tIns="22860" rIns="0" bIns="0" anchor="t" upright="1"/>
        <a:lstStyle/>
        <a:p>
          <a:pPr algn="r" rtl="0">
            <a:defRPr sz="1000"/>
          </a:pPr>
          <a:fld id="{EC50C5B8-F352-44A2-A40B-3E79D8C8660A}"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12</xdr:col>
      <xdr:colOff>490735</xdr:colOff>
      <xdr:row>31</xdr:row>
      <xdr:rowOff>77416</xdr:rowOff>
    </xdr:from>
    <xdr:to>
      <xdr:col>13</xdr:col>
      <xdr:colOff>338748</xdr:colOff>
      <xdr:row>32</xdr:row>
      <xdr:rowOff>71599</xdr:rowOff>
    </xdr:to>
    <xdr:sp macro="" textlink="'Variable Management'!B385">
      <xdr:nvSpPr>
        <xdr:cNvPr id="76" name="Text Box 279">
          <a:extLst>
            <a:ext uri="{FF2B5EF4-FFF2-40B4-BE49-F238E27FC236}">
              <a16:creationId xmlns:a16="http://schemas.microsoft.com/office/drawing/2014/main" id="{00000000-0008-0000-0000-00004C000000}"/>
            </a:ext>
          </a:extLst>
        </xdr:cNvPr>
        <xdr:cNvSpPr txBox="1">
          <a:spLocks noChangeArrowheads="1"/>
        </xdr:cNvSpPr>
      </xdr:nvSpPr>
      <xdr:spPr bwMode="auto">
        <a:xfrm>
          <a:off x="7894381" y="6391130"/>
          <a:ext cx="448088" cy="229315"/>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6743863A-37F9-454E-8264-1AAED8F1ABE9}" type="TxLink">
            <a:rPr lang="en-US" sz="1000" b="0" i="0" u="none" strike="noStrike">
              <a:solidFill>
                <a:srgbClr val="000000"/>
              </a:solidFill>
              <a:latin typeface="Arial"/>
              <a:ea typeface="+mn-ea"/>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1000">
            <a:latin typeface="Arial" pitchFamily="34" charset="0"/>
            <a:cs typeface="Arial" pitchFamily="34" charset="0"/>
          </a:endParaRPr>
        </a:p>
      </xdr:txBody>
    </xdr:sp>
    <xdr:clientData/>
  </xdr:twoCellAnchor>
  <xdr:twoCellAnchor editAs="absolute">
    <xdr:from>
      <xdr:col>9</xdr:col>
      <xdr:colOff>385274</xdr:colOff>
      <xdr:row>10</xdr:row>
      <xdr:rowOff>156195</xdr:rowOff>
    </xdr:from>
    <xdr:to>
      <xdr:col>10</xdr:col>
      <xdr:colOff>384896</xdr:colOff>
      <xdr:row>12</xdr:row>
      <xdr:rowOff>42552</xdr:rowOff>
    </xdr:to>
    <xdr:sp macro="" textlink="'Variable Management'!B385">
      <xdr:nvSpPr>
        <xdr:cNvPr id="65" name="Text Box 279">
          <a:extLst>
            <a:ext uri="{FF2B5EF4-FFF2-40B4-BE49-F238E27FC236}">
              <a16:creationId xmlns:a16="http://schemas.microsoft.com/office/drawing/2014/main" id="{00000000-0008-0000-0000-000041000000}"/>
            </a:ext>
          </a:extLst>
        </xdr:cNvPr>
        <xdr:cNvSpPr txBox="1">
          <a:spLocks noChangeArrowheads="1"/>
        </xdr:cNvSpPr>
      </xdr:nvSpPr>
      <xdr:spPr bwMode="auto">
        <a:xfrm>
          <a:off x="5870329" y="2481864"/>
          <a:ext cx="499741" cy="246850"/>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BEC6ADA1-D3F0-4250-A616-4B90091890E2}"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600">
            <a:latin typeface="Arial" pitchFamily="34" charset="0"/>
            <a:cs typeface="Arial" pitchFamily="34" charset="0"/>
          </a:endParaRPr>
        </a:p>
      </xdr:txBody>
    </xdr:sp>
    <xdr:clientData/>
  </xdr:twoCellAnchor>
  <xdr:twoCellAnchor editAs="absolute">
    <xdr:from>
      <xdr:col>9</xdr:col>
      <xdr:colOff>384414</xdr:colOff>
      <xdr:row>7</xdr:row>
      <xdr:rowOff>148504</xdr:rowOff>
    </xdr:from>
    <xdr:to>
      <xdr:col>10</xdr:col>
      <xdr:colOff>384036</xdr:colOff>
      <xdr:row>9</xdr:row>
      <xdr:rowOff>34136</xdr:rowOff>
    </xdr:to>
    <xdr:sp macro="" textlink="'Variable Management'!C385">
      <xdr:nvSpPr>
        <xdr:cNvPr id="66" name="Text Box 279">
          <a:extLst>
            <a:ext uri="{FF2B5EF4-FFF2-40B4-BE49-F238E27FC236}">
              <a16:creationId xmlns:a16="http://schemas.microsoft.com/office/drawing/2014/main" id="{00000000-0008-0000-0000-000042000000}"/>
            </a:ext>
          </a:extLst>
        </xdr:cNvPr>
        <xdr:cNvSpPr txBox="1">
          <a:spLocks noChangeArrowheads="1"/>
        </xdr:cNvSpPr>
      </xdr:nvSpPr>
      <xdr:spPr bwMode="auto">
        <a:xfrm>
          <a:off x="5871374" y="1921050"/>
          <a:ext cx="499741" cy="236601"/>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64918A-6299-4F27-9549-1AB4B3DEA3B9}"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8</xdr:col>
      <xdr:colOff>188858</xdr:colOff>
      <xdr:row>22</xdr:row>
      <xdr:rowOff>42135</xdr:rowOff>
    </xdr:from>
    <xdr:to>
      <xdr:col>9</xdr:col>
      <xdr:colOff>270281</xdr:colOff>
      <xdr:row>23</xdr:row>
      <xdr:rowOff>80809</xdr:rowOff>
    </xdr:to>
    <xdr:sp macro="" textlink="'Variable Management'!E385">
      <xdr:nvSpPr>
        <xdr:cNvPr id="81" name="Text Box 279">
          <a:extLst>
            <a:ext uri="{FF2B5EF4-FFF2-40B4-BE49-F238E27FC236}">
              <a16:creationId xmlns:a16="http://schemas.microsoft.com/office/drawing/2014/main" id="{00000000-0008-0000-0000-000051000000}"/>
            </a:ext>
          </a:extLst>
        </xdr:cNvPr>
        <xdr:cNvSpPr txBox="1">
          <a:spLocks noChangeArrowheads="1"/>
        </xdr:cNvSpPr>
      </xdr:nvSpPr>
      <xdr:spPr bwMode="auto">
        <a:xfrm>
          <a:off x="5218058" y="4700532"/>
          <a:ext cx="537278" cy="21606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483F83-546B-48E4-817B-49519E47D65F}" type="TxLink">
            <a:rPr lang="en-US" sz="10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9</xdr:col>
      <xdr:colOff>95</xdr:colOff>
      <xdr:row>7</xdr:row>
      <xdr:rowOff>918</xdr:rowOff>
    </xdr:from>
    <xdr:to>
      <xdr:col>10</xdr:col>
      <xdr:colOff>461799</xdr:colOff>
      <xdr:row>8</xdr:row>
      <xdr:rowOff>110241</xdr:rowOff>
    </xdr:to>
    <xdr:sp macro="" textlink="'Variable Management'!B451">
      <xdr:nvSpPr>
        <xdr:cNvPr id="86" name="Text Box 283">
          <a:extLst>
            <a:ext uri="{FF2B5EF4-FFF2-40B4-BE49-F238E27FC236}">
              <a16:creationId xmlns:a16="http://schemas.microsoft.com/office/drawing/2014/main" id="{00000000-0008-0000-0000-000056000000}"/>
            </a:ext>
          </a:extLst>
        </xdr:cNvPr>
        <xdr:cNvSpPr txBox="1">
          <a:spLocks noChangeArrowheads="1" noTextEdit="1"/>
        </xdr:cNvSpPr>
      </xdr:nvSpPr>
      <xdr:spPr bwMode="auto">
        <a:xfrm>
          <a:off x="5475065" y="1772568"/>
          <a:ext cx="968434" cy="288393"/>
        </a:xfrm>
        <a:prstGeom prst="rect">
          <a:avLst/>
        </a:prstGeom>
        <a:noFill/>
        <a:ln w="9525">
          <a:noFill/>
          <a:miter lim="800000"/>
          <a:headEnd/>
          <a:tailEnd/>
        </a:ln>
      </xdr:spPr>
      <xdr:txBody>
        <a:bodyPr vertOverflow="clip" wrap="square" lIns="27432" tIns="22860" rIns="0" bIns="0" anchor="t" upright="1"/>
        <a:lstStyle/>
        <a:p>
          <a:pPr algn="l" rtl="0">
            <a:defRPr sz="1000"/>
          </a:pPr>
          <a:fld id="{C6ED40A1-EDED-4BB3-907C-40CD83565E4B}" type="TxLink">
            <a:rPr lang="en-US" sz="1100" b="1" i="0" u="none" strike="noStrike">
              <a:solidFill>
                <a:srgbClr val="FF0000"/>
              </a:solidFill>
              <a:latin typeface="Arial"/>
              <a:cs typeface="Arial"/>
            </a:rPr>
            <a:pPr algn="l" rtl="0">
              <a:defRPr sz="1000"/>
            </a:pPr>
            <a:t>5V...7.4V</a:t>
          </a:fld>
          <a:endParaRPr lang="en-US" sz="1400" b="1" i="0" strike="noStrike">
            <a:solidFill>
              <a:srgbClr val="FF0000"/>
            </a:solidFill>
            <a:latin typeface="Arial" pitchFamily="34" charset="0"/>
            <a:cs typeface="Arial" pitchFamily="34" charset="0"/>
          </a:endParaRPr>
        </a:p>
      </xdr:txBody>
    </xdr:sp>
    <xdr:clientData/>
  </xdr:twoCellAnchor>
  <xdr:twoCellAnchor editAs="absolute">
    <xdr:from>
      <xdr:col>10</xdr:col>
      <xdr:colOff>153374</xdr:colOff>
      <xdr:row>17</xdr:row>
      <xdr:rowOff>142496</xdr:rowOff>
    </xdr:from>
    <xdr:to>
      <xdr:col>10</xdr:col>
      <xdr:colOff>686644</xdr:colOff>
      <xdr:row>18</xdr:row>
      <xdr:rowOff>149468</xdr:rowOff>
    </xdr:to>
    <xdr:sp macro="" textlink="'Variable Management'!D419">
      <xdr:nvSpPr>
        <xdr:cNvPr id="94" name="Text Box 279">
          <a:extLst>
            <a:ext uri="{FF2B5EF4-FFF2-40B4-BE49-F238E27FC236}">
              <a16:creationId xmlns:a16="http://schemas.microsoft.com/office/drawing/2014/main" id="{00000000-0008-0000-0000-00005E000000}"/>
            </a:ext>
          </a:extLst>
        </xdr:cNvPr>
        <xdr:cNvSpPr txBox="1">
          <a:spLocks noChangeArrowheads="1"/>
        </xdr:cNvSpPr>
      </xdr:nvSpPr>
      <xdr:spPr bwMode="auto">
        <a:xfrm>
          <a:off x="6296266" y="3817681"/>
          <a:ext cx="533270" cy="182818"/>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fld id="{59CF34ED-6C7D-4B7D-8CCB-720517623826}" type="TxLink">
            <a:rPr lang="en-US" sz="1000" b="0" i="0" u="none" strike="noStrike">
              <a:solidFill>
                <a:srgbClr val="000000"/>
              </a:solidFill>
              <a:latin typeface="Arial"/>
              <a:cs typeface="Arial"/>
            </a:rPr>
            <a:pPr marL="0" marR="0" indent="0" algn="ctr" defTabSz="914400" rtl="0" eaLnBrk="1" fontAlgn="auto" latinLnBrk="0" hangingPunct="1">
              <a:lnSpc>
                <a:spcPct val="100000"/>
              </a:lnSpc>
              <a:spcBef>
                <a:spcPts val="0"/>
              </a:spcBef>
              <a:spcAft>
                <a:spcPts val="0"/>
              </a:spcAft>
              <a:buClrTx/>
              <a:buSzTx/>
              <a:buFontTx/>
              <a:buNone/>
              <a:tabLst/>
              <a:defRPr sz="1000"/>
            </a:pPr>
            <a:t>0Ω</a:t>
          </a:fld>
          <a:endParaRPr lang="en-US" sz="1000">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63500</xdr:colOff>
          <xdr:row>50</xdr:row>
          <xdr:rowOff>63500</xdr:rowOff>
        </xdr:from>
        <xdr:to>
          <xdr:col>2</xdr:col>
          <xdr:colOff>31750</xdr:colOff>
          <xdr:row>51</xdr:row>
          <xdr:rowOff>139700</xdr:rowOff>
        </xdr:to>
        <xdr:sp macro="" textlink="">
          <xdr:nvSpPr>
            <xdr:cNvPr id="770900" name="Drop Down 6996" hidden="1">
              <a:extLst>
                <a:ext uri="{63B3BB69-23CF-44E3-9099-C40C66FF867C}">
                  <a14:compatExt spid="_x0000_s770900"/>
                </a:ext>
                <a:ext uri="{FF2B5EF4-FFF2-40B4-BE49-F238E27FC236}">
                  <a16:creationId xmlns:a16="http://schemas.microsoft.com/office/drawing/2014/main" id="{00000000-0008-0000-0000-000054C3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97109</xdr:colOff>
      <xdr:row>10</xdr:row>
      <xdr:rowOff>51297</xdr:rowOff>
    </xdr:from>
    <xdr:to>
      <xdr:col>10</xdr:col>
      <xdr:colOff>250019</xdr:colOff>
      <xdr:row>11</xdr:row>
      <xdr:rowOff>58778</xdr:rowOff>
    </xdr:to>
    <xdr:sp macro="" textlink="'Variable Management'!B421">
      <xdr:nvSpPr>
        <xdr:cNvPr id="80" name="Text Box 276">
          <a:extLst>
            <a:ext uri="{FF2B5EF4-FFF2-40B4-BE49-F238E27FC236}">
              <a16:creationId xmlns:a16="http://schemas.microsoft.com/office/drawing/2014/main" id="{00000000-0008-0000-0000-000050000000}"/>
            </a:ext>
          </a:extLst>
        </xdr:cNvPr>
        <xdr:cNvSpPr txBox="1">
          <a:spLocks noChangeArrowheads="1" noTextEdit="1"/>
        </xdr:cNvSpPr>
      </xdr:nvSpPr>
      <xdr:spPr bwMode="auto">
        <a:xfrm>
          <a:off x="5712097" y="2313485"/>
          <a:ext cx="672022" cy="174168"/>
        </a:xfrm>
        <a:prstGeom prst="rect">
          <a:avLst/>
        </a:prstGeom>
        <a:noFill/>
        <a:ln w="9525">
          <a:noFill/>
          <a:miter lim="800000"/>
          <a:headEnd/>
          <a:tailEnd/>
        </a:ln>
      </xdr:spPr>
      <xdr:txBody>
        <a:bodyPr vertOverflow="clip" wrap="square" lIns="27432" tIns="22860" rIns="0" bIns="0" anchor="ctr" upright="1"/>
        <a:lstStyle/>
        <a:p>
          <a:pPr algn="r" rtl="0">
            <a:defRPr sz="1000"/>
          </a:pPr>
          <a:fld id="{5870FC66-CAAD-4C4C-B6A3-330B5B471599}"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200kΩ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9</xdr:col>
      <xdr:colOff>172461</xdr:colOff>
      <xdr:row>13</xdr:row>
      <xdr:rowOff>96434</xdr:rowOff>
    </xdr:from>
    <xdr:to>
      <xdr:col>10</xdr:col>
      <xdr:colOff>250197</xdr:colOff>
      <xdr:row>14</xdr:row>
      <xdr:rowOff>126070</xdr:rowOff>
    </xdr:to>
    <xdr:sp macro="" textlink="'Variable Management'!B422">
      <xdr:nvSpPr>
        <xdr:cNvPr id="84" name="Text Box 276">
          <a:extLst>
            <a:ext uri="{FF2B5EF4-FFF2-40B4-BE49-F238E27FC236}">
              <a16:creationId xmlns:a16="http://schemas.microsoft.com/office/drawing/2014/main" id="{00000000-0008-0000-0000-000054000000}"/>
            </a:ext>
          </a:extLst>
        </xdr:cNvPr>
        <xdr:cNvSpPr txBox="1">
          <a:spLocks noChangeArrowheads="1" noTextEdit="1"/>
        </xdr:cNvSpPr>
      </xdr:nvSpPr>
      <xdr:spPr bwMode="auto">
        <a:xfrm>
          <a:off x="5787449" y="2906309"/>
          <a:ext cx="596848" cy="243949"/>
        </a:xfrm>
        <a:prstGeom prst="rect">
          <a:avLst/>
        </a:prstGeom>
        <a:noFill/>
        <a:ln w="9525">
          <a:noFill/>
          <a:miter lim="800000"/>
          <a:headEnd/>
          <a:tailEnd/>
        </a:ln>
      </xdr:spPr>
      <xdr:txBody>
        <a:bodyPr vertOverflow="clip" wrap="square" lIns="27432" tIns="22860" rIns="0" bIns="0" anchor="t" upright="1"/>
        <a:lstStyle/>
        <a:p>
          <a:pPr algn="r" rtl="0">
            <a:defRPr sz="1000"/>
          </a:pPr>
          <a:fld id="{59617F90-7F7F-43F9-AB4B-411A3D6FCFA0}"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9.53kΩ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10</xdr:col>
      <xdr:colOff>574616</xdr:colOff>
      <xdr:row>8</xdr:row>
      <xdr:rowOff>3470</xdr:rowOff>
    </xdr:from>
    <xdr:to>
      <xdr:col>11</xdr:col>
      <xdr:colOff>307735</xdr:colOff>
      <xdr:row>9</xdr:row>
      <xdr:rowOff>42738</xdr:rowOff>
    </xdr:to>
    <xdr:sp macro="" textlink="'Variable Management'!B405">
      <xdr:nvSpPr>
        <xdr:cNvPr id="83" name="Text Box 276">
          <a:extLst>
            <a:ext uri="{FF2B5EF4-FFF2-40B4-BE49-F238E27FC236}">
              <a16:creationId xmlns:a16="http://schemas.microsoft.com/office/drawing/2014/main" id="{00000000-0008-0000-0000-000053000000}"/>
            </a:ext>
          </a:extLst>
        </xdr:cNvPr>
        <xdr:cNvSpPr txBox="1">
          <a:spLocks noChangeArrowheads="1" noTextEdit="1"/>
        </xdr:cNvSpPr>
      </xdr:nvSpPr>
      <xdr:spPr bwMode="auto">
        <a:xfrm>
          <a:off x="6555980" y="1951276"/>
          <a:ext cx="572551" cy="237837"/>
        </a:xfrm>
        <a:prstGeom prst="rect">
          <a:avLst/>
        </a:prstGeom>
        <a:noFill/>
        <a:ln w="9525">
          <a:noFill/>
          <a:miter lim="800000"/>
          <a:headEnd/>
          <a:tailEnd/>
        </a:ln>
      </xdr:spPr>
      <xdr:txBody>
        <a:bodyPr vertOverflow="clip" wrap="square" lIns="27432" tIns="22860" rIns="0" bIns="0" anchor="ctr" upright="1"/>
        <a:lstStyle/>
        <a:p>
          <a:pPr algn="r" rtl="0">
            <a:defRPr sz="1000"/>
          </a:pPr>
          <a:fld id="{1733A4D7-3523-40B9-84DE-2D041844A89F}"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10</xdr:col>
      <xdr:colOff>688916</xdr:colOff>
      <xdr:row>10</xdr:row>
      <xdr:rowOff>80228</xdr:rowOff>
    </xdr:from>
    <xdr:to>
      <xdr:col>11</xdr:col>
      <xdr:colOff>307735</xdr:colOff>
      <xdr:row>11</xdr:row>
      <xdr:rowOff>156445</xdr:rowOff>
    </xdr:to>
    <xdr:sp macro="" textlink="'Variable Management'!B404">
      <xdr:nvSpPr>
        <xdr:cNvPr id="85" name="Text Box 276">
          <a:extLst>
            <a:ext uri="{FF2B5EF4-FFF2-40B4-BE49-F238E27FC236}">
              <a16:creationId xmlns:a16="http://schemas.microsoft.com/office/drawing/2014/main" id="{00000000-0008-0000-0000-000055000000}"/>
            </a:ext>
          </a:extLst>
        </xdr:cNvPr>
        <xdr:cNvSpPr txBox="1">
          <a:spLocks noChangeArrowheads="1" noTextEdit="1"/>
        </xdr:cNvSpPr>
      </xdr:nvSpPr>
      <xdr:spPr bwMode="auto">
        <a:xfrm>
          <a:off x="6670280" y="2407802"/>
          <a:ext cx="458251" cy="251701"/>
        </a:xfrm>
        <a:prstGeom prst="rect">
          <a:avLst/>
        </a:prstGeom>
        <a:noFill/>
        <a:ln w="9525">
          <a:noFill/>
          <a:miter lim="800000"/>
          <a:headEnd/>
          <a:tailEnd/>
        </a:ln>
      </xdr:spPr>
      <xdr:txBody>
        <a:bodyPr vertOverflow="clip" wrap="square" lIns="27432" tIns="22860" rIns="0" bIns="0" anchor="ctr" upright="1"/>
        <a:lstStyle/>
        <a:p>
          <a:pPr algn="r" rtl="0">
            <a:defRPr sz="1000"/>
          </a:pPr>
          <a:fld id="{64A40C25-B8C4-4137-A6E6-043573078923}"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335280</xdr:colOff>
      <xdr:row>14</xdr:row>
      <xdr:rowOff>244906</xdr:rowOff>
    </xdr:from>
    <xdr:to>
      <xdr:col>15</xdr:col>
      <xdr:colOff>403860</xdr:colOff>
      <xdr:row>17</xdr:row>
      <xdr:rowOff>42303</xdr:rowOff>
    </xdr:to>
    <xdr:sp macro="" textlink="'Variable Management'!P29">
      <xdr:nvSpPr>
        <xdr:cNvPr id="100" name="Text Box 255">
          <a:extLst>
            <a:ext uri="{FF2B5EF4-FFF2-40B4-BE49-F238E27FC236}">
              <a16:creationId xmlns:a16="http://schemas.microsoft.com/office/drawing/2014/main" id="{00000000-0008-0000-0000-000064000000}"/>
            </a:ext>
          </a:extLst>
        </xdr:cNvPr>
        <xdr:cNvSpPr txBox="1">
          <a:spLocks noChangeArrowheads="1"/>
        </xdr:cNvSpPr>
      </xdr:nvSpPr>
      <xdr:spPr bwMode="auto">
        <a:xfrm>
          <a:off x="7322820" y="3270046"/>
          <a:ext cx="2636520" cy="429857"/>
        </a:xfrm>
        <a:prstGeom prst="rect">
          <a:avLst/>
        </a:prstGeom>
        <a:noFill/>
        <a:ln w="9525">
          <a:noFill/>
          <a:miter lim="800000"/>
          <a:headEnd/>
          <a:tailEnd/>
        </a:ln>
      </xdr:spPr>
      <xdr:txBody>
        <a:bodyPr vertOverflow="clip" wrap="square" lIns="27432" tIns="27432" rIns="0" bIns="0" anchor="ctr" upright="1"/>
        <a:lstStyle/>
        <a:p>
          <a:pPr algn="ctr" rtl="0">
            <a:defRPr sz="1000"/>
          </a:pPr>
          <a:fld id="{3D1EE03A-7ADC-44E7-8465-7E5A0D981313}" type="TxLink">
            <a:rPr lang="en-US" sz="1400" b="1" i="0" u="none" strike="noStrike">
              <a:solidFill>
                <a:srgbClr val="FF0000"/>
              </a:solidFill>
              <a:latin typeface="Arial"/>
              <a:cs typeface="Arial"/>
            </a:rPr>
            <a:pPr algn="ctr" rtl="0">
              <a:defRPr sz="1000"/>
            </a:pPr>
            <a:t>LM25148-Q1</a:t>
          </a:fld>
          <a:endParaRPr lang="en-US" sz="4000" b="1" i="0" strike="noStrike" baseline="-25000">
            <a:solidFill>
              <a:srgbClr val="FF0000"/>
            </a:solidFill>
            <a:latin typeface="Arial" pitchFamily="34" charset="0"/>
            <a:cs typeface="Arial" pitchFamily="34" charset="0"/>
          </a:endParaRPr>
        </a:p>
      </xdr:txBody>
    </xdr:sp>
    <xdr:clientData/>
  </xdr:twoCellAnchor>
  <xdr:twoCellAnchor editAs="absolute">
    <xdr:from>
      <xdr:col>10</xdr:col>
      <xdr:colOff>92678</xdr:colOff>
      <xdr:row>22</xdr:row>
      <xdr:rowOff>118704</xdr:rowOff>
    </xdr:from>
    <xdr:to>
      <xdr:col>10</xdr:col>
      <xdr:colOff>739363</xdr:colOff>
      <xdr:row>23</xdr:row>
      <xdr:rowOff>194771</xdr:rowOff>
    </xdr:to>
    <xdr:sp macro="" textlink="'Variable Management'!E407">
      <xdr:nvSpPr>
        <xdr:cNvPr id="99" name="Text Box 263">
          <a:extLst>
            <a:ext uri="{FF2B5EF4-FFF2-40B4-BE49-F238E27FC236}">
              <a16:creationId xmlns:a16="http://schemas.microsoft.com/office/drawing/2014/main" id="{00000000-0008-0000-0000-000063000000}"/>
            </a:ext>
          </a:extLst>
        </xdr:cNvPr>
        <xdr:cNvSpPr txBox="1">
          <a:spLocks noChangeArrowheads="1" noTextEdit="1"/>
        </xdr:cNvSpPr>
      </xdr:nvSpPr>
      <xdr:spPr bwMode="auto">
        <a:xfrm>
          <a:off x="6235570" y="4667258"/>
          <a:ext cx="646685" cy="246051"/>
        </a:xfrm>
        <a:prstGeom prst="rect">
          <a:avLst/>
        </a:prstGeom>
        <a:noFill/>
        <a:ln w="9525">
          <a:noFill/>
          <a:miter lim="800000"/>
          <a:headEnd/>
          <a:tailEnd/>
        </a:ln>
      </xdr:spPr>
      <xdr:txBody>
        <a:bodyPr vertOverflow="clip" wrap="square" lIns="27432" tIns="22860" rIns="0" bIns="0" anchor="t" upright="1"/>
        <a:lstStyle/>
        <a:p>
          <a:pPr algn="ctr" rtl="0">
            <a:defRPr sz="1000"/>
          </a:pPr>
          <a:fld id="{3031C7D8-B5EB-4140-BBBF-1F7FE936F989}"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9</xdr:col>
      <xdr:colOff>42394</xdr:colOff>
      <xdr:row>22</xdr:row>
      <xdr:rowOff>79883</xdr:rowOff>
    </xdr:from>
    <xdr:to>
      <xdr:col>10</xdr:col>
      <xdr:colOff>156515</xdr:colOff>
      <xdr:row>23</xdr:row>
      <xdr:rowOff>193945</xdr:rowOff>
    </xdr:to>
    <xdr:sp macro="" textlink="'Variable Management'!C407">
      <xdr:nvSpPr>
        <xdr:cNvPr id="101" name="Text Box 263">
          <a:extLst>
            <a:ext uri="{FF2B5EF4-FFF2-40B4-BE49-F238E27FC236}">
              <a16:creationId xmlns:a16="http://schemas.microsoft.com/office/drawing/2014/main" id="{00000000-0008-0000-0000-000065000000}"/>
            </a:ext>
          </a:extLst>
        </xdr:cNvPr>
        <xdr:cNvSpPr txBox="1">
          <a:spLocks noChangeArrowheads="1" noTextEdit="1"/>
        </xdr:cNvSpPr>
      </xdr:nvSpPr>
      <xdr:spPr bwMode="auto">
        <a:xfrm>
          <a:off x="5521734" y="4738280"/>
          <a:ext cx="621860" cy="291451"/>
        </a:xfrm>
        <a:prstGeom prst="rect">
          <a:avLst/>
        </a:prstGeom>
        <a:noFill/>
        <a:ln w="9525">
          <a:noFill/>
          <a:miter lim="800000"/>
          <a:headEnd/>
          <a:tailEnd/>
        </a:ln>
      </xdr:spPr>
      <xdr:txBody>
        <a:bodyPr vertOverflow="clip" wrap="square" lIns="27432" tIns="22860" rIns="0" bIns="0" anchor="t" upright="1"/>
        <a:lstStyle/>
        <a:p>
          <a:pPr algn="ctr" rtl="0">
            <a:defRPr sz="1000"/>
          </a:pPr>
          <a:fld id="{4871C2E7-D21C-4ED8-8DE5-93C2B2A18B90}"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6</xdr:col>
          <xdr:colOff>76200</xdr:colOff>
          <xdr:row>4</xdr:row>
          <xdr:rowOff>6350</xdr:rowOff>
        </xdr:from>
        <xdr:to>
          <xdr:col>7</xdr:col>
          <xdr:colOff>114300</xdr:colOff>
          <xdr:row>5</xdr:row>
          <xdr:rowOff>0</xdr:rowOff>
        </xdr:to>
        <xdr:sp macro="" textlink="">
          <xdr:nvSpPr>
            <xdr:cNvPr id="843436" name="Drop Down 8876" hidden="1">
              <a:extLst>
                <a:ext uri="{63B3BB69-23CF-44E3-9099-C40C66FF867C}">
                  <a14:compatExt spid="_x0000_s843436"/>
                </a:ext>
                <a:ext uri="{FF2B5EF4-FFF2-40B4-BE49-F238E27FC236}">
                  <a16:creationId xmlns:a16="http://schemas.microsoft.com/office/drawing/2014/main" id="{00000000-0008-0000-0000-0000ACD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15</xdr:col>
      <xdr:colOff>1219200</xdr:colOff>
      <xdr:row>22</xdr:row>
      <xdr:rowOff>15240</xdr:rowOff>
    </xdr:from>
    <xdr:to>
      <xdr:col>15</xdr:col>
      <xdr:colOff>2894921</xdr:colOff>
      <xdr:row>24</xdr:row>
      <xdr:rowOff>30359</xdr:rowOff>
    </xdr:to>
    <xdr:sp macro="" textlink="">
      <xdr:nvSpPr>
        <xdr:cNvPr id="50" name="Text Box 249">
          <a:extLst>
            <a:ext uri="{FF2B5EF4-FFF2-40B4-BE49-F238E27FC236}">
              <a16:creationId xmlns:a16="http://schemas.microsoft.com/office/drawing/2014/main" id="{00000000-0008-0000-0000-000032000000}"/>
            </a:ext>
          </a:extLst>
        </xdr:cNvPr>
        <xdr:cNvSpPr txBox="1">
          <a:spLocks noChangeArrowheads="1"/>
        </xdr:cNvSpPr>
      </xdr:nvSpPr>
      <xdr:spPr bwMode="auto">
        <a:xfrm>
          <a:off x="10774680" y="4541520"/>
          <a:ext cx="1675721" cy="39611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 </a:t>
          </a:r>
        </a:p>
        <a:p>
          <a:pPr algn="l" rtl="0">
            <a:defRPr sz="1000"/>
          </a:pPr>
          <a:r>
            <a:rPr lang="en-US" sz="1000" b="0" i="0" strike="noStrike">
              <a:solidFill>
                <a:srgbClr val="000000"/>
              </a:solidFill>
              <a:latin typeface="Arial" pitchFamily="34" charset="0"/>
              <a:cs typeface="Arial" pitchFamily="34" charset="0"/>
            </a:rPr>
            <a:t>(or</a:t>
          </a:r>
          <a:r>
            <a:rPr lang="en-US" sz="1000" b="0" i="0" strike="noStrike" baseline="0">
              <a:solidFill>
                <a:srgbClr val="000000"/>
              </a:solidFill>
              <a:latin typeface="Arial" pitchFamily="34" charset="0"/>
              <a:cs typeface="Arial" pitchFamily="34" charset="0"/>
            </a:rPr>
            <a:t> tie to GND if not used)</a:t>
          </a:r>
          <a:endParaRPr lang="en-US" sz="1000" b="0" i="0" strike="noStrike" baseline="-25000">
            <a:solidFill>
              <a:srgbClr val="000000"/>
            </a:solidFill>
            <a:latin typeface="Arial" pitchFamily="34" charset="0"/>
            <a:cs typeface="Arial" pitchFamily="34" charset="0"/>
          </a:endParaRPr>
        </a:p>
      </xdr:txBody>
    </xdr:sp>
    <xdr:clientData/>
  </xdr:twoCellAnchor>
  <xdr:twoCellAnchor editAs="absolute">
    <xdr:from>
      <xdr:col>14</xdr:col>
      <xdr:colOff>640080</xdr:colOff>
      <xdr:row>43</xdr:row>
      <xdr:rowOff>76200</xdr:rowOff>
    </xdr:from>
    <xdr:to>
      <xdr:col>15</xdr:col>
      <xdr:colOff>3368040</xdr:colOff>
      <xdr:row>45</xdr:row>
      <xdr:rowOff>2643</xdr:rowOff>
    </xdr:to>
    <xdr:sp macro="" textlink="'Variable Management'!A426">
      <xdr:nvSpPr>
        <xdr:cNvPr id="51" name="Text Box 283">
          <a:extLst>
            <a:ext uri="{FF2B5EF4-FFF2-40B4-BE49-F238E27FC236}">
              <a16:creationId xmlns:a16="http://schemas.microsoft.com/office/drawing/2014/main" id="{00000000-0008-0000-0000-000033000000}"/>
            </a:ext>
          </a:extLst>
        </xdr:cNvPr>
        <xdr:cNvSpPr txBox="1">
          <a:spLocks noChangeArrowheads="1" noTextEdit="1"/>
        </xdr:cNvSpPr>
      </xdr:nvSpPr>
      <xdr:spPr bwMode="auto">
        <a:xfrm>
          <a:off x="9502140" y="8503920"/>
          <a:ext cx="3421380" cy="276963"/>
        </a:xfrm>
        <a:prstGeom prst="rect">
          <a:avLst/>
        </a:prstGeom>
        <a:noFill/>
        <a:ln w="9525">
          <a:noFill/>
          <a:miter lim="800000"/>
          <a:headEnd/>
          <a:tailEnd/>
        </a:ln>
      </xdr:spPr>
      <xdr:txBody>
        <a:bodyPr vertOverflow="clip" wrap="square" lIns="27432" tIns="22860" rIns="0" bIns="0" anchor="t" upright="1"/>
        <a:lstStyle/>
        <a:p>
          <a:pPr algn="l" rtl="0">
            <a:defRPr sz="1000"/>
          </a:pPr>
          <a:fld id="{6459DEAC-AF83-4910-965F-54E18763E2E4}" type="TxLink">
            <a:rPr lang="en-US" sz="1100" b="1" i="0" u="none" strike="noStrike">
              <a:solidFill>
                <a:srgbClr val="FF0000"/>
              </a:solidFill>
              <a:latin typeface="Arial"/>
              <a:cs typeface="Arial"/>
            </a:rPr>
            <a:pPr algn="l" rtl="0">
              <a:defRPr sz="1000"/>
            </a:pPr>
            <a:t> </a:t>
          </a:fld>
          <a:endParaRPr lang="en-US" sz="1800" b="1" i="0" strike="noStrike">
            <a:solidFill>
              <a:srgbClr val="FF0000"/>
            </a:solidFill>
            <a:latin typeface="Arial" pitchFamily="34" charset="0"/>
            <a:cs typeface="Arial"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9525</xdr:rowOff>
    </xdr:from>
    <xdr:ext cx="1950720" cy="508288"/>
    <xdr:pic>
      <xdr:nvPicPr>
        <xdr:cNvPr id="2" name="Picture 1">
          <a:hlinkClick xmlns:r="http://schemas.openxmlformats.org/officeDocument/2006/relationships" r:id="rId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9525"/>
          <a:ext cx="1950720" cy="508288"/>
        </a:xfrm>
        <a:prstGeom prst="rect">
          <a:avLst/>
        </a:prstGeom>
      </xdr:spPr>
    </xdr:pic>
    <xdr:clientData/>
  </xdr:oneCellAnchor>
  <mc:AlternateContent xmlns:mc="http://schemas.openxmlformats.org/markup-compatibility/2006">
    <mc:Choice xmlns:a14="http://schemas.microsoft.com/office/drawing/2010/main" Requires="a14">
      <xdr:twoCellAnchor>
        <xdr:from>
          <xdr:col>0</xdr:col>
          <xdr:colOff>533400</xdr:colOff>
          <xdr:row>18</xdr:row>
          <xdr:rowOff>38100</xdr:rowOff>
        </xdr:from>
        <xdr:to>
          <xdr:col>6</xdr:col>
          <xdr:colOff>342900</xdr:colOff>
          <xdr:row>35</xdr:row>
          <xdr:rowOff>101600</xdr:rowOff>
        </xdr:to>
        <xdr:sp macro="" textlink="">
          <xdr:nvSpPr>
            <xdr:cNvPr id="797704" name="Object 4" hidden="1">
              <a:extLst>
                <a:ext uri="{63B3BB69-23CF-44E3-9099-C40C66FF867C}">
                  <a14:compatExt spid="_x0000_s797704"/>
                </a:ext>
                <a:ext uri="{FF2B5EF4-FFF2-40B4-BE49-F238E27FC236}">
                  <a16:creationId xmlns:a16="http://schemas.microsoft.com/office/drawing/2014/main" id="{00000000-0008-0000-0100-0000082C0C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102870</xdr:colOff>
          <xdr:row>12</xdr:row>
          <xdr:rowOff>125730</xdr:rowOff>
        </xdr:from>
        <xdr:to>
          <xdr:col>16</xdr:col>
          <xdr:colOff>6606540</xdr:colOff>
          <xdr:row>42</xdr:row>
          <xdr:rowOff>94273</xdr:rowOff>
        </xdr:to>
        <xdr:pic>
          <xdr:nvPicPr>
            <xdr:cNvPr id="6" name="Picture 1174">
              <a:extLst>
                <a:ext uri="{FF2B5EF4-FFF2-40B4-BE49-F238E27FC236}">
                  <a16:creationId xmlns:a16="http://schemas.microsoft.com/office/drawing/2014/main" id="{00000000-0008-0000-0100-000006000000}"/>
                </a:ext>
              </a:extLst>
            </xdr:cNvPr>
            <xdr:cNvPicPr>
              <a:picLocks noChangeAspect="1" noChangeArrowheads="1"/>
              <a:extLst>
                <a:ext uri="{84589F7E-364E-4C9E-8A38-B11213B215E9}">
                  <a14:cameraTool cellRange="BODE_PLOT_Ch2" spid="_x0000_s798362"/>
                </a:ext>
              </a:extLst>
            </xdr:cNvPicPr>
          </xdr:nvPicPr>
          <xdr:blipFill>
            <a:blip xmlns:r="http://schemas.openxmlformats.org/officeDocument/2006/relationships" r:embed="rId3"/>
            <a:srcRect/>
            <a:stretch>
              <a:fillRect/>
            </a:stretch>
          </xdr:blipFill>
          <xdr:spPr bwMode="auto">
            <a:xfrm>
              <a:off x="8181975" y="2781300"/>
              <a:ext cx="7724775" cy="48891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19</xdr:row>
          <xdr:rowOff>38100</xdr:rowOff>
        </xdr:from>
        <xdr:to>
          <xdr:col>14</xdr:col>
          <xdr:colOff>25400</xdr:colOff>
          <xdr:row>32</xdr:row>
          <xdr:rowOff>139700</xdr:rowOff>
        </xdr:to>
        <xdr:sp macro="" textlink="">
          <xdr:nvSpPr>
            <xdr:cNvPr id="797852" name="Object 156" hidden="1">
              <a:extLst>
                <a:ext uri="{63B3BB69-23CF-44E3-9099-C40C66FF867C}">
                  <a14:compatExt spid="_x0000_s797852"/>
                </a:ext>
                <a:ext uri="{FF2B5EF4-FFF2-40B4-BE49-F238E27FC236}">
                  <a16:creationId xmlns:a16="http://schemas.microsoft.com/office/drawing/2014/main" id="{00000000-0008-0000-0100-00009C2C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9525</xdr:rowOff>
    </xdr:from>
    <xdr:to>
      <xdr:col>3</xdr:col>
      <xdr:colOff>131445</xdr:colOff>
      <xdr:row>1</xdr:row>
      <xdr:rowOff>3463</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9525"/>
          <a:ext cx="2223770" cy="59083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8</xdr:col>
          <xdr:colOff>276536</xdr:colOff>
          <xdr:row>17</xdr:row>
          <xdr:rowOff>82236</xdr:rowOff>
        </xdr:from>
        <xdr:to>
          <xdr:col>16</xdr:col>
          <xdr:colOff>3599012</xdr:colOff>
          <xdr:row>50</xdr:row>
          <xdr:rowOff>130874</xdr:rowOff>
        </xdr:to>
        <xdr:pic>
          <xdr:nvPicPr>
            <xdr:cNvPr id="3" name="Picture 1174">
              <a:extLst>
                <a:ext uri="{FF2B5EF4-FFF2-40B4-BE49-F238E27FC236}">
                  <a16:creationId xmlns:a16="http://schemas.microsoft.com/office/drawing/2014/main" id="{00000000-0008-0000-0200-000003000000}"/>
                </a:ext>
              </a:extLst>
            </xdr:cNvPr>
            <xdr:cNvPicPr>
              <a:picLocks noChangeAspect="1" noChangeArrowheads="1"/>
              <a:extLst>
                <a:ext uri="{84589F7E-364E-4C9E-8A38-B11213B215E9}">
                  <a14:cameraTool cellRange="BODE_PLOT_Ch2" spid="_x0000_s785241"/>
                </a:ext>
              </a:extLst>
            </xdr:cNvPicPr>
          </xdr:nvPicPr>
          <xdr:blipFill>
            <a:blip xmlns:r="http://schemas.openxmlformats.org/officeDocument/2006/relationships" r:embed="rId3"/>
            <a:srcRect/>
            <a:stretch>
              <a:fillRect/>
            </a:stretch>
          </xdr:blipFill>
          <xdr:spPr bwMode="auto">
            <a:xfrm>
              <a:off x="4842559" y="3358836"/>
              <a:ext cx="9002739" cy="549693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587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206189</xdr:colOff>
          <xdr:row>1</xdr:row>
          <xdr:rowOff>62754</xdr:rowOff>
        </xdr:from>
        <xdr:to>
          <xdr:col>7</xdr:col>
          <xdr:colOff>1087708</xdr:colOff>
          <xdr:row>28</xdr:row>
          <xdr:rowOff>135014</xdr:rowOff>
        </xdr:to>
        <xdr:pic>
          <xdr:nvPicPr>
            <xdr:cNvPr id="29" name="Picture 1175">
              <a:extLst>
                <a:ext uri="{FF2B5EF4-FFF2-40B4-BE49-F238E27FC236}">
                  <a16:creationId xmlns:a16="http://schemas.microsoft.com/office/drawing/2014/main" id="{00000000-0008-0000-0300-00001D000000}"/>
                </a:ext>
              </a:extLst>
            </xdr:cNvPr>
            <xdr:cNvPicPr>
              <a:picLocks noChangeAspect="1" noChangeArrowheads="1"/>
              <a:extLst>
                <a:ext uri="{84589F7E-364E-4C9E-8A38-B11213B215E9}">
                  <a14:cameraTool cellRange="PICTURE2" spid="_x0000_s830849"/>
                </a:ext>
              </a:extLst>
            </xdr:cNvPicPr>
          </xdr:nvPicPr>
          <xdr:blipFill>
            <a:blip xmlns:r="http://schemas.openxmlformats.org/officeDocument/2006/relationships" r:embed="rId1"/>
            <a:srcRect/>
            <a:stretch>
              <a:fillRect/>
            </a:stretch>
          </xdr:blipFill>
          <xdr:spPr bwMode="auto">
            <a:xfrm>
              <a:off x="206189" y="233083"/>
              <a:ext cx="8680813" cy="4671155"/>
            </a:xfrm>
            <a:prstGeom prst="rect">
              <a:avLst/>
            </a:prstGeom>
            <a:noFill/>
            <a:ln w="15875">
              <a:noFill/>
              <a:miter lim="800000"/>
              <a:headEnd/>
              <a:tailEnd/>
            </a:ln>
            <a:extLst>
              <a:ext uri="{909E8E84-426E-40DD-AFC4-6F175D3DCCD1}">
                <a14:hiddenFill>
                  <a:solidFill>
                    <a:srgbClr val="FFFFFF" mc:Ignorable="a14" a14:legacySpreadsheetColorIndex="65"/>
                  </a:solidFill>
                </a14:hiddenFill>
              </a:ext>
            </a:extLst>
          </xdr:spPr>
        </xdr:pic>
        <xdr:clientData/>
      </xdr:twoCellAnchor>
    </mc:Choice>
    <mc:Fallback/>
  </mc:AlternateContent>
  <xdr:twoCellAnchor editAs="absolute">
    <xdr:from>
      <xdr:col>2</xdr:col>
      <xdr:colOff>144402</xdr:colOff>
      <xdr:row>24</xdr:row>
      <xdr:rowOff>1543</xdr:rowOff>
    </xdr:from>
    <xdr:to>
      <xdr:col>2</xdr:col>
      <xdr:colOff>594282</xdr:colOff>
      <xdr:row>25</xdr:row>
      <xdr:rowOff>71045</xdr:rowOff>
    </xdr:to>
    <xdr:sp macro="" textlink="'Variable Management'!B409">
      <xdr:nvSpPr>
        <xdr:cNvPr id="30" name="Text Box 262">
          <a:extLst>
            <a:ext uri="{FF2B5EF4-FFF2-40B4-BE49-F238E27FC236}">
              <a16:creationId xmlns:a16="http://schemas.microsoft.com/office/drawing/2014/main" id="{00000000-0008-0000-0300-00001E000000}"/>
            </a:ext>
          </a:extLst>
        </xdr:cNvPr>
        <xdr:cNvSpPr txBox="1">
          <a:spLocks noChangeArrowheads="1" noTextEdit="1"/>
        </xdr:cNvSpPr>
      </xdr:nvSpPr>
      <xdr:spPr bwMode="auto">
        <a:xfrm>
          <a:off x="2197320" y="4086759"/>
          <a:ext cx="449880" cy="242521"/>
        </a:xfrm>
        <a:prstGeom prst="rect">
          <a:avLst/>
        </a:prstGeom>
        <a:noFill/>
        <a:ln w="9525">
          <a:noFill/>
          <a:miter lim="800000"/>
          <a:headEnd/>
          <a:tailEnd/>
        </a:ln>
      </xdr:spPr>
      <xdr:txBody>
        <a:bodyPr vertOverflow="clip" wrap="square" lIns="27432" tIns="22860" rIns="0" bIns="0" anchor="ctr"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N/A</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529650</xdr:colOff>
      <xdr:row>22</xdr:row>
      <xdr:rowOff>155646</xdr:rowOff>
    </xdr:from>
    <xdr:to>
      <xdr:col>1</xdr:col>
      <xdr:colOff>1167676</xdr:colOff>
      <xdr:row>24</xdr:row>
      <xdr:rowOff>61321</xdr:rowOff>
    </xdr:to>
    <xdr:sp macro="" textlink="'Variable Management'!B407">
      <xdr:nvSpPr>
        <xdr:cNvPr id="31" name="Text Box 263">
          <a:extLst>
            <a:ext uri="{FF2B5EF4-FFF2-40B4-BE49-F238E27FC236}">
              <a16:creationId xmlns:a16="http://schemas.microsoft.com/office/drawing/2014/main" id="{00000000-0008-0000-0300-00001F000000}"/>
            </a:ext>
          </a:extLst>
        </xdr:cNvPr>
        <xdr:cNvSpPr txBox="1">
          <a:spLocks noChangeArrowheads="1" noTextEdit="1"/>
        </xdr:cNvSpPr>
      </xdr:nvSpPr>
      <xdr:spPr bwMode="auto">
        <a:xfrm>
          <a:off x="1184074" y="3902893"/>
          <a:ext cx="638026" cy="246334"/>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45.3kΩ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140426</xdr:colOff>
      <xdr:row>12</xdr:row>
      <xdr:rowOff>106550</xdr:rowOff>
    </xdr:from>
    <xdr:to>
      <xdr:col>7</xdr:col>
      <xdr:colOff>636510</xdr:colOff>
      <xdr:row>14</xdr:row>
      <xdr:rowOff>533</xdr:rowOff>
    </xdr:to>
    <xdr:sp macro="" textlink="'Variable Management'!B397">
      <xdr:nvSpPr>
        <xdr:cNvPr id="32" name="Text Box 267">
          <a:extLst>
            <a:ext uri="{FF2B5EF4-FFF2-40B4-BE49-F238E27FC236}">
              <a16:creationId xmlns:a16="http://schemas.microsoft.com/office/drawing/2014/main" id="{00000000-0008-0000-0300-000020000000}"/>
            </a:ext>
          </a:extLst>
        </xdr:cNvPr>
        <xdr:cNvSpPr txBox="1">
          <a:spLocks noChangeArrowheads="1" noTextEdit="1"/>
        </xdr:cNvSpPr>
      </xdr:nvSpPr>
      <xdr:spPr bwMode="auto">
        <a:xfrm>
          <a:off x="7939720" y="2150503"/>
          <a:ext cx="496084" cy="234642"/>
        </a:xfrm>
        <a:prstGeom prst="rect">
          <a:avLst/>
        </a:prstGeom>
        <a:noFill/>
        <a:ln w="9525">
          <a:noFill/>
          <a:miter lim="800000"/>
          <a:headEnd/>
          <a:tailEnd/>
        </a:ln>
      </xdr:spPr>
      <xdr:txBody>
        <a:bodyPr vertOverflow="clip" wrap="square" lIns="27432" tIns="22860" rIns="0" bIns="0" anchor="ctr" upright="1"/>
        <a:lstStyle/>
        <a:p>
          <a:pPr algn="ctr" rtl="0">
            <a:defRPr sz="1000"/>
          </a:pPr>
          <a:fld id="{DEF62FD0-959B-4627-B7E8-61CA1688D174}" type="TxLink">
            <a:rPr lang="en-US" sz="1000" b="0" i="0" u="none" strike="noStrike" baseline="0">
              <a:solidFill>
                <a:srgbClr val="000000"/>
              </a:solidFill>
              <a:latin typeface="Arial" pitchFamily="34" charset="0"/>
              <a:cs typeface="Arial" pitchFamily="34" charset="0"/>
            </a:rPr>
            <a:pPr algn="ctr" rtl="0">
              <a:defRPr sz="1000"/>
            </a:pPr>
            <a:t>200µF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915237</xdr:colOff>
      <xdr:row>10</xdr:row>
      <xdr:rowOff>155270</xdr:rowOff>
    </xdr:from>
    <xdr:to>
      <xdr:col>6</xdr:col>
      <xdr:colOff>3527</xdr:colOff>
      <xdr:row>12</xdr:row>
      <xdr:rowOff>38202</xdr:rowOff>
    </xdr:to>
    <xdr:sp macro="" textlink="'Variable Management'!B379">
      <xdr:nvSpPr>
        <xdr:cNvPr id="33" name="Text Box 275">
          <a:extLst>
            <a:ext uri="{FF2B5EF4-FFF2-40B4-BE49-F238E27FC236}">
              <a16:creationId xmlns:a16="http://schemas.microsoft.com/office/drawing/2014/main" id="{00000000-0008-0000-0300-000021000000}"/>
            </a:ext>
          </a:extLst>
        </xdr:cNvPr>
        <xdr:cNvSpPr txBox="1">
          <a:spLocks noChangeArrowheads="1" noTextEdit="1"/>
        </xdr:cNvSpPr>
      </xdr:nvSpPr>
      <xdr:spPr bwMode="auto">
        <a:xfrm>
          <a:off x="6643684" y="1858564"/>
          <a:ext cx="495749" cy="22359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6.8µH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1145271</xdr:colOff>
      <xdr:row>4</xdr:row>
      <xdr:rowOff>121708</xdr:rowOff>
    </xdr:from>
    <xdr:to>
      <xdr:col>6</xdr:col>
      <xdr:colOff>231835</xdr:colOff>
      <xdr:row>6</xdr:row>
      <xdr:rowOff>29687</xdr:rowOff>
    </xdr:to>
    <xdr:sp macro="" textlink="'Variable Management'!B401">
      <xdr:nvSpPr>
        <xdr:cNvPr id="34" name="Text Box 276">
          <a:extLst>
            <a:ext uri="{FF2B5EF4-FFF2-40B4-BE49-F238E27FC236}">
              <a16:creationId xmlns:a16="http://schemas.microsoft.com/office/drawing/2014/main" id="{00000000-0008-0000-0300-000022000000}"/>
            </a:ext>
          </a:extLst>
        </xdr:cNvPr>
        <xdr:cNvSpPr txBox="1">
          <a:spLocks noChangeArrowheads="1" noTextEdit="1"/>
        </xdr:cNvSpPr>
      </xdr:nvSpPr>
      <xdr:spPr bwMode="auto">
        <a:xfrm>
          <a:off x="6873718" y="803026"/>
          <a:ext cx="494023" cy="248637"/>
        </a:xfrm>
        <a:prstGeom prst="rect">
          <a:avLst/>
        </a:prstGeom>
        <a:noFill/>
        <a:ln w="9525">
          <a:noFill/>
          <a:miter lim="800000"/>
          <a:headEnd/>
          <a:tailEnd/>
        </a:ln>
      </xdr:spPr>
      <xdr:txBody>
        <a:bodyPr vertOverflow="clip" wrap="square" lIns="27432" tIns="22860" rIns="0" bIns="0" anchor="ctr" upright="1"/>
        <a:lstStyle/>
        <a:p>
          <a:pPr algn="ctr" rtl="0">
            <a:defRPr sz="1000"/>
          </a:pPr>
          <a:fld id="{7E8F3901-1453-4951-8E28-510E65401D4C}" type="TxLink">
            <a:rPr lang="en-US" sz="1000" b="0" i="0" u="none" strike="noStrike" baseline="0">
              <a:solidFill>
                <a:srgbClr val="000000"/>
              </a:solidFill>
              <a:latin typeface="Arial" pitchFamily="34" charset="0"/>
              <a:cs typeface="Arial" pitchFamily="34" charset="0"/>
            </a:rPr>
            <a:pPr algn="ctr" rtl="0">
              <a:defRPr sz="1000"/>
            </a:pPr>
            <a:t>30µF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7</xdr:col>
      <xdr:colOff>234633</xdr:colOff>
      <xdr:row>7</xdr:row>
      <xdr:rowOff>97801</xdr:rowOff>
    </xdr:from>
    <xdr:to>
      <xdr:col>7</xdr:col>
      <xdr:colOff>844886</xdr:colOff>
      <xdr:row>9</xdr:row>
      <xdr:rowOff>26185</xdr:rowOff>
    </xdr:to>
    <xdr:sp macro="" textlink="'Variable Management'!B395">
      <xdr:nvSpPr>
        <xdr:cNvPr id="35" name="Text Box 285">
          <a:extLst>
            <a:ext uri="{FF2B5EF4-FFF2-40B4-BE49-F238E27FC236}">
              <a16:creationId xmlns:a16="http://schemas.microsoft.com/office/drawing/2014/main" id="{00000000-0008-0000-0300-000023000000}"/>
            </a:ext>
          </a:extLst>
        </xdr:cNvPr>
        <xdr:cNvSpPr txBox="1">
          <a:spLocks noChangeArrowheads="1" noTextEdit="1"/>
        </xdr:cNvSpPr>
      </xdr:nvSpPr>
      <xdr:spPr bwMode="auto">
        <a:xfrm>
          <a:off x="8033927" y="1290107"/>
          <a:ext cx="610253" cy="269043"/>
        </a:xfrm>
        <a:prstGeom prst="rect">
          <a:avLst/>
        </a:prstGeom>
        <a:noFill/>
        <a:ln w="9525">
          <a:noFill/>
          <a:miter lim="800000"/>
          <a:headEnd/>
          <a:tailEnd/>
        </a:ln>
      </xdr:spPr>
      <xdr:txBody>
        <a:bodyPr vertOverflow="clip" wrap="square" lIns="27432" tIns="22860" rIns="0" bIns="0" anchor="ctr" upright="1"/>
        <a:lstStyle/>
        <a:p>
          <a:pPr algn="l" rtl="0">
            <a:defRPr sz="1000"/>
          </a:pPr>
          <a:fld id="{702C2B8A-7C4B-4FDB-B229-3170089D9686}" type="TxLink">
            <a:rPr lang="en-US" sz="1100" b="1" i="0" u="none" strike="noStrike" baseline="0">
              <a:solidFill>
                <a:srgbClr val="FF0000"/>
              </a:solidFill>
              <a:latin typeface="Arial" pitchFamily="34" charset="0"/>
              <a:cs typeface="Arial" pitchFamily="34" charset="0"/>
            </a:rPr>
            <a:pPr algn="l" rtl="0">
              <a:defRPr sz="1000"/>
            </a:pPr>
            <a:t>3.3V</a:t>
          </a:fld>
          <a:endParaRPr lang="en-US" sz="1100" b="1" i="0" u="none" strike="noStrike" baseline="0">
            <a:solidFill>
              <a:srgbClr val="FF0000"/>
            </a:solidFill>
            <a:latin typeface="Arial" pitchFamily="34" charset="0"/>
            <a:cs typeface="Arial" pitchFamily="34" charset="0"/>
          </a:endParaRPr>
        </a:p>
      </xdr:txBody>
    </xdr:sp>
    <xdr:clientData/>
  </xdr:twoCellAnchor>
  <xdr:twoCellAnchor editAs="absolute">
    <xdr:from>
      <xdr:col>7</xdr:col>
      <xdr:colOff>232227</xdr:colOff>
      <xdr:row>8</xdr:row>
      <xdr:rowOff>167110</xdr:rowOff>
    </xdr:from>
    <xdr:to>
      <xdr:col>7</xdr:col>
      <xdr:colOff>650783</xdr:colOff>
      <xdr:row>10</xdr:row>
      <xdr:rowOff>81732</xdr:rowOff>
    </xdr:to>
    <xdr:sp macro="" textlink="'Variable Management'!B448">
      <xdr:nvSpPr>
        <xdr:cNvPr id="36" name="Text Box 286">
          <a:extLst>
            <a:ext uri="{FF2B5EF4-FFF2-40B4-BE49-F238E27FC236}">
              <a16:creationId xmlns:a16="http://schemas.microsoft.com/office/drawing/2014/main" id="{00000000-0008-0000-0300-000024000000}"/>
            </a:ext>
          </a:extLst>
        </xdr:cNvPr>
        <xdr:cNvSpPr txBox="1">
          <a:spLocks noChangeArrowheads="1" noTextEdit="1"/>
        </xdr:cNvSpPr>
      </xdr:nvSpPr>
      <xdr:spPr bwMode="auto">
        <a:xfrm>
          <a:off x="8031521" y="1529745"/>
          <a:ext cx="418556" cy="255281"/>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100" b="1" i="0" u="none" strike="noStrike">
              <a:solidFill>
                <a:srgbClr val="FF0000"/>
              </a:solidFill>
              <a:latin typeface="Arial" pitchFamily="34" charset="0"/>
              <a:cs typeface="Arial" pitchFamily="34" charset="0"/>
            </a:rPr>
            <a:pPr algn="l" rtl="0">
              <a:defRPr sz="1000"/>
            </a:pPr>
            <a:t>1.5A</a:t>
          </a:fld>
          <a:endParaRPr lang="en-US" sz="1100" b="1" i="0" strike="noStrike">
            <a:solidFill>
              <a:srgbClr val="FF0000"/>
            </a:solidFill>
            <a:latin typeface="Arial" pitchFamily="34" charset="0"/>
            <a:cs typeface="Arial" pitchFamily="34" charset="0"/>
          </a:endParaRPr>
        </a:p>
      </xdr:txBody>
    </xdr:sp>
    <xdr:clientData/>
  </xdr:twoCellAnchor>
  <xdr:twoCellAnchor editAs="absolute">
    <xdr:from>
      <xdr:col>6</xdr:col>
      <xdr:colOff>42289</xdr:colOff>
      <xdr:row>9</xdr:row>
      <xdr:rowOff>45412</xdr:rowOff>
    </xdr:from>
    <xdr:to>
      <xdr:col>6</xdr:col>
      <xdr:colOff>498469</xdr:colOff>
      <xdr:row>10</xdr:row>
      <xdr:rowOff>124220</xdr:rowOff>
    </xdr:to>
    <xdr:sp macro="" textlink="'Variable Management'!B381">
      <xdr:nvSpPr>
        <xdr:cNvPr id="37" name="Text Box 275">
          <a:extLst>
            <a:ext uri="{FF2B5EF4-FFF2-40B4-BE49-F238E27FC236}">
              <a16:creationId xmlns:a16="http://schemas.microsoft.com/office/drawing/2014/main" id="{00000000-0008-0000-0300-000025000000}"/>
            </a:ext>
          </a:extLst>
        </xdr:cNvPr>
        <xdr:cNvSpPr txBox="1">
          <a:spLocks noChangeArrowheads="1" noTextEdit="1"/>
        </xdr:cNvSpPr>
      </xdr:nvSpPr>
      <xdr:spPr bwMode="auto">
        <a:xfrm>
          <a:off x="7178195" y="1578377"/>
          <a:ext cx="456180" cy="24913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25mΩ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669234</xdr:colOff>
      <xdr:row>25</xdr:row>
      <xdr:rowOff>26559</xdr:rowOff>
    </xdr:from>
    <xdr:to>
      <xdr:col>1</xdr:col>
      <xdr:colOff>1085539</xdr:colOff>
      <xdr:row>26</xdr:row>
      <xdr:rowOff>96603</xdr:rowOff>
    </xdr:to>
    <xdr:sp macro="" textlink="'Variable Management'!B408">
      <xdr:nvSpPr>
        <xdr:cNvPr id="38" name="Text Box 261">
          <a:extLst>
            <a:ext uri="{FF2B5EF4-FFF2-40B4-BE49-F238E27FC236}">
              <a16:creationId xmlns:a16="http://schemas.microsoft.com/office/drawing/2014/main" id="{00000000-0008-0000-0300-000026000000}"/>
            </a:ext>
          </a:extLst>
        </xdr:cNvPr>
        <xdr:cNvSpPr txBox="1">
          <a:spLocks noChangeArrowheads="1" noTextEdit="1"/>
        </xdr:cNvSpPr>
      </xdr:nvSpPr>
      <xdr:spPr bwMode="auto">
        <a:xfrm>
          <a:off x="1323658" y="4284794"/>
          <a:ext cx="416305" cy="240374"/>
        </a:xfrm>
        <a:prstGeom prst="rect">
          <a:avLst/>
        </a:prstGeom>
        <a:noFill/>
        <a:ln w="9525">
          <a:noFill/>
          <a:miter lim="800000"/>
          <a:headEnd/>
          <a:tailEnd/>
        </a:ln>
      </xdr:spPr>
      <xdr:txBody>
        <a:bodyPr vertOverflow="clip" wrap="square" lIns="27432" tIns="22860" rIns="0" bIns="0" anchor="t" upright="1"/>
        <a:lstStyle/>
        <a:p>
          <a:pPr algn="ctr" rtl="0">
            <a:defRPr sz="1000"/>
          </a:pPr>
          <a:fld id="{B9060F6D-CAA3-48E6-BAE7-37C16D6980D0}" type="TxLink">
            <a:rPr lang="en-US" sz="1000" b="0" i="0" u="none" strike="noStrike" baseline="0">
              <a:solidFill>
                <a:srgbClr val="000000"/>
              </a:solidFill>
              <a:latin typeface="Arial" panose="020B0604020202020204" pitchFamily="34" charset="0"/>
              <a:cs typeface="Arial" panose="020B0604020202020204" pitchFamily="34" charset="0"/>
            </a:rPr>
            <a:pPr algn="ctr" rtl="0">
              <a:defRPr sz="1000"/>
            </a:pPr>
            <a:t>0.82nF</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2</xdr:col>
      <xdr:colOff>352105</xdr:colOff>
      <xdr:row>25</xdr:row>
      <xdr:rowOff>64471</xdr:rowOff>
    </xdr:from>
    <xdr:to>
      <xdr:col>2</xdr:col>
      <xdr:colOff>934239</xdr:colOff>
      <xdr:row>26</xdr:row>
      <xdr:rowOff>129510</xdr:rowOff>
    </xdr:to>
    <xdr:sp macro="" textlink="'Variable Management'!B443">
      <xdr:nvSpPr>
        <xdr:cNvPr id="39" name="Text Box 281">
          <a:extLst>
            <a:ext uri="{FF2B5EF4-FFF2-40B4-BE49-F238E27FC236}">
              <a16:creationId xmlns:a16="http://schemas.microsoft.com/office/drawing/2014/main" id="{00000000-0008-0000-0300-000027000000}"/>
            </a:ext>
          </a:extLst>
        </xdr:cNvPr>
        <xdr:cNvSpPr txBox="1">
          <a:spLocks noChangeArrowheads="1" noTextEdit="1"/>
        </xdr:cNvSpPr>
      </xdr:nvSpPr>
      <xdr:spPr bwMode="auto">
        <a:xfrm>
          <a:off x="2405023" y="4322706"/>
          <a:ext cx="582134" cy="235369"/>
        </a:xfrm>
        <a:prstGeom prst="rect">
          <a:avLst/>
        </a:prstGeom>
        <a:noFill/>
        <a:ln w="9525">
          <a:noFill/>
          <a:miter lim="800000"/>
          <a:headEnd/>
          <a:tailEnd/>
        </a:ln>
      </xdr:spPr>
      <xdr:txBody>
        <a:bodyPr vertOverflow="clip" wrap="square" lIns="27432" tIns="22860" rIns="0" bIns="0" anchor="t" upright="1"/>
        <a:lstStyle/>
        <a:p>
          <a:pPr algn="ctr" rtl="0">
            <a:defRPr sz="1000"/>
          </a:pPr>
          <a:fld id="{040E05FC-A7F4-4D23-BCC4-309E85A2CCCA}" type="TxLink">
            <a:rPr lang="en-US" sz="1000" b="0" i="0" u="none" strike="noStrike">
              <a:solidFill>
                <a:srgbClr val="000000"/>
              </a:solidFill>
              <a:latin typeface="Arial" panose="020B0604020202020204" pitchFamily="34" charset="0"/>
              <a:cs typeface="Arial" panose="020B0604020202020204" pitchFamily="34" charset="0"/>
            </a:rPr>
            <a:pPr algn="ctr" rtl="0">
              <a:defRPr sz="1000"/>
            </a:pPr>
            <a:t>53.6kΩ</a:t>
          </a:fld>
          <a:endParaRPr lang="en-US" sz="1000" b="0" i="0" strike="noStrike">
            <a:solidFill>
              <a:srgbClr val="000000"/>
            </a:solidFill>
            <a:latin typeface="Arial" pitchFamily="34" charset="0"/>
            <a:cs typeface="Arial" pitchFamily="34" charset="0"/>
          </a:endParaRPr>
        </a:p>
      </xdr:txBody>
    </xdr:sp>
    <xdr:clientData/>
  </xdr:twoCellAnchor>
  <xdr:twoCellAnchor editAs="absolute">
    <xdr:from>
      <xdr:col>1</xdr:col>
      <xdr:colOff>841329</xdr:colOff>
      <xdr:row>15</xdr:row>
      <xdr:rowOff>70242</xdr:rowOff>
    </xdr:from>
    <xdr:to>
      <xdr:col>1</xdr:col>
      <xdr:colOff>1376142</xdr:colOff>
      <xdr:row>16</xdr:row>
      <xdr:rowOff>117161</xdr:rowOff>
    </xdr:to>
    <xdr:sp macro="" textlink="'Variable Management'!B417">
      <xdr:nvSpPr>
        <xdr:cNvPr id="40" name="Text Box 263">
          <a:extLst>
            <a:ext uri="{FF2B5EF4-FFF2-40B4-BE49-F238E27FC236}">
              <a16:creationId xmlns:a16="http://schemas.microsoft.com/office/drawing/2014/main" id="{00000000-0008-0000-0300-000028000000}"/>
            </a:ext>
          </a:extLst>
        </xdr:cNvPr>
        <xdr:cNvSpPr txBox="1">
          <a:spLocks noChangeArrowheads="1" noTextEdit="1"/>
        </xdr:cNvSpPr>
      </xdr:nvSpPr>
      <xdr:spPr bwMode="auto">
        <a:xfrm>
          <a:off x="1495753" y="2625183"/>
          <a:ext cx="534813" cy="217249"/>
        </a:xfrm>
        <a:prstGeom prst="rect">
          <a:avLst/>
        </a:prstGeom>
        <a:noFill/>
        <a:ln w="9525">
          <a:noFill/>
          <a:miter lim="800000"/>
          <a:headEnd/>
          <a:tailEnd/>
        </a:ln>
      </xdr:spPr>
      <xdr:txBody>
        <a:bodyPr vertOverflow="clip" wrap="square" lIns="27432" tIns="22860" rIns="0" bIns="0" anchor="t" upright="1"/>
        <a:lstStyle/>
        <a:p>
          <a:pPr algn="r" rtl="0">
            <a:defRPr sz="1000"/>
          </a:pPr>
          <a:fld id="{E7CFC31C-4225-4DFF-A445-15835378F2C7}"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826864</xdr:colOff>
      <xdr:row>18</xdr:row>
      <xdr:rowOff>76714</xdr:rowOff>
    </xdr:from>
    <xdr:to>
      <xdr:col>1</xdr:col>
      <xdr:colOff>1390656</xdr:colOff>
      <xdr:row>19</xdr:row>
      <xdr:rowOff>140317</xdr:rowOff>
    </xdr:to>
    <xdr:sp macro="" textlink="'Variable Management'!B418">
      <xdr:nvSpPr>
        <xdr:cNvPr id="41" name="Text Box 263">
          <a:extLst>
            <a:ext uri="{FF2B5EF4-FFF2-40B4-BE49-F238E27FC236}">
              <a16:creationId xmlns:a16="http://schemas.microsoft.com/office/drawing/2014/main" id="{00000000-0008-0000-0300-000029000000}"/>
            </a:ext>
          </a:extLst>
        </xdr:cNvPr>
        <xdr:cNvSpPr txBox="1">
          <a:spLocks noChangeArrowheads="1" noTextEdit="1"/>
        </xdr:cNvSpPr>
      </xdr:nvSpPr>
      <xdr:spPr bwMode="auto">
        <a:xfrm>
          <a:off x="1481288" y="3142643"/>
          <a:ext cx="571412" cy="233933"/>
        </a:xfrm>
        <a:prstGeom prst="rect">
          <a:avLst/>
        </a:prstGeom>
        <a:noFill/>
        <a:ln w="9525">
          <a:noFill/>
          <a:miter lim="800000"/>
          <a:headEnd/>
          <a:tailEnd/>
        </a:ln>
      </xdr:spPr>
      <xdr:txBody>
        <a:bodyPr vertOverflow="clip" wrap="square" lIns="27432" tIns="22860" rIns="0" bIns="0" anchor="t" upright="1"/>
        <a:lstStyle/>
        <a:p>
          <a:pPr algn="r" rtl="0">
            <a:defRPr sz="1000"/>
          </a:pPr>
          <a:fld id="{3474E4CD-1870-4A36-820F-F9FFA24B283F}"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980199</xdr:colOff>
      <xdr:row>25</xdr:row>
      <xdr:rowOff>59751</xdr:rowOff>
    </xdr:from>
    <xdr:to>
      <xdr:col>3</xdr:col>
      <xdr:colOff>421709</xdr:colOff>
      <xdr:row>26</xdr:row>
      <xdr:rowOff>99075</xdr:rowOff>
    </xdr:to>
    <xdr:sp macro="" textlink="'Variable Management'!B442">
      <xdr:nvSpPr>
        <xdr:cNvPr id="42" name="Text Box 263">
          <a:extLst>
            <a:ext uri="{FF2B5EF4-FFF2-40B4-BE49-F238E27FC236}">
              <a16:creationId xmlns:a16="http://schemas.microsoft.com/office/drawing/2014/main" id="{00000000-0008-0000-0300-00002A000000}"/>
            </a:ext>
          </a:extLst>
        </xdr:cNvPr>
        <xdr:cNvSpPr txBox="1">
          <a:spLocks noChangeArrowheads="1" noTextEdit="1"/>
        </xdr:cNvSpPr>
      </xdr:nvSpPr>
      <xdr:spPr bwMode="auto">
        <a:xfrm>
          <a:off x="3033117" y="4317986"/>
          <a:ext cx="544168" cy="209654"/>
        </a:xfrm>
        <a:prstGeom prst="rect">
          <a:avLst/>
        </a:prstGeom>
        <a:noFill/>
        <a:ln w="9525">
          <a:noFill/>
          <a:miter lim="800000"/>
          <a:headEnd/>
          <a:tailEnd/>
        </a:ln>
      </xdr:spPr>
      <xdr:txBody>
        <a:bodyPr vertOverflow="clip" wrap="square" lIns="27432" tIns="22860" rIns="0" bIns="0" anchor="t" upright="1"/>
        <a:lstStyle/>
        <a:p>
          <a:pPr algn="r" rtl="0">
            <a:defRPr sz="1000"/>
          </a:pPr>
          <a:fld id="{EC50C5B8-F352-44A2-A40B-3E79D8C8660A}"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607199</xdr:colOff>
      <xdr:row>7</xdr:row>
      <xdr:rowOff>42489</xdr:rowOff>
    </xdr:from>
    <xdr:to>
      <xdr:col>1</xdr:col>
      <xdr:colOff>1129336</xdr:colOff>
      <xdr:row>8</xdr:row>
      <xdr:rowOff>85089</xdr:rowOff>
    </xdr:to>
    <xdr:sp macro="" textlink="'Variable Management'!B385">
      <xdr:nvSpPr>
        <xdr:cNvPr id="43" name="Text Box 279">
          <a:extLst>
            <a:ext uri="{FF2B5EF4-FFF2-40B4-BE49-F238E27FC236}">
              <a16:creationId xmlns:a16="http://schemas.microsoft.com/office/drawing/2014/main" id="{00000000-0008-0000-0300-00002B000000}"/>
            </a:ext>
          </a:extLst>
        </xdr:cNvPr>
        <xdr:cNvSpPr txBox="1">
          <a:spLocks noChangeArrowheads="1"/>
        </xdr:cNvSpPr>
      </xdr:nvSpPr>
      <xdr:spPr bwMode="auto">
        <a:xfrm>
          <a:off x="1261623" y="1234795"/>
          <a:ext cx="522137" cy="21292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BEC6ADA1-D3F0-4250-A616-4B90091890E2}"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600">
            <a:latin typeface="Arial" pitchFamily="34" charset="0"/>
            <a:cs typeface="Arial" pitchFamily="34" charset="0"/>
          </a:endParaRPr>
        </a:p>
      </xdr:txBody>
    </xdr:sp>
    <xdr:clientData/>
  </xdr:twoCellAnchor>
  <xdr:twoCellAnchor editAs="absolute">
    <xdr:from>
      <xdr:col>1</xdr:col>
      <xdr:colOff>606339</xdr:colOff>
      <xdr:row>4</xdr:row>
      <xdr:rowOff>55929</xdr:rowOff>
    </xdr:from>
    <xdr:to>
      <xdr:col>1</xdr:col>
      <xdr:colOff>1128476</xdr:colOff>
      <xdr:row>5</xdr:row>
      <xdr:rowOff>97803</xdr:rowOff>
    </xdr:to>
    <xdr:sp macro="" textlink="'Variable Management'!C385">
      <xdr:nvSpPr>
        <xdr:cNvPr id="61" name="Text Box 279">
          <a:extLst>
            <a:ext uri="{FF2B5EF4-FFF2-40B4-BE49-F238E27FC236}">
              <a16:creationId xmlns:a16="http://schemas.microsoft.com/office/drawing/2014/main" id="{00000000-0008-0000-0300-00003D000000}"/>
            </a:ext>
          </a:extLst>
        </xdr:cNvPr>
        <xdr:cNvSpPr txBox="1">
          <a:spLocks noChangeArrowheads="1"/>
        </xdr:cNvSpPr>
      </xdr:nvSpPr>
      <xdr:spPr bwMode="auto">
        <a:xfrm>
          <a:off x="1260763" y="737247"/>
          <a:ext cx="522137" cy="212203"/>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64918A-6299-4F27-9549-1AB4B3DEA3B9}" type="TxLink">
            <a:rPr lang="en-US" sz="9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0</xdr:col>
      <xdr:colOff>608007</xdr:colOff>
      <xdr:row>19</xdr:row>
      <xdr:rowOff>148705</xdr:rowOff>
    </xdr:from>
    <xdr:to>
      <xdr:col>1</xdr:col>
      <xdr:colOff>492206</xdr:colOff>
      <xdr:row>21</xdr:row>
      <xdr:rowOff>10005</xdr:rowOff>
    </xdr:to>
    <xdr:sp macro="" textlink="'Variable Management'!E385">
      <xdr:nvSpPr>
        <xdr:cNvPr id="62" name="Text Box 279">
          <a:extLst>
            <a:ext uri="{FF2B5EF4-FFF2-40B4-BE49-F238E27FC236}">
              <a16:creationId xmlns:a16="http://schemas.microsoft.com/office/drawing/2014/main" id="{00000000-0008-0000-0300-00003E000000}"/>
            </a:ext>
          </a:extLst>
        </xdr:cNvPr>
        <xdr:cNvSpPr txBox="1">
          <a:spLocks noChangeArrowheads="1"/>
        </xdr:cNvSpPr>
      </xdr:nvSpPr>
      <xdr:spPr bwMode="auto">
        <a:xfrm>
          <a:off x="608007" y="3384964"/>
          <a:ext cx="538623" cy="201959"/>
        </a:xfrm>
        <a:prstGeom prst="rect">
          <a:avLst/>
        </a:prstGeom>
        <a:noFill/>
        <a:ln w="9525">
          <a:noFill/>
          <a:miter lim="800000"/>
          <a:headEnd/>
          <a:tailEnd/>
        </a:ln>
      </xdr:spPr>
      <xdr:txBody>
        <a:bodyPr vertOverflow="clip" wrap="square" lIns="27432" tIns="27432" rIns="0" bIns="0" anchor="ctr" upright="1"/>
        <a:lstStyle/>
        <a:p>
          <a:pPr marL="0" marR="0" indent="0" algn="l" defTabSz="914400" rtl="0" eaLnBrk="1" fontAlgn="auto" latinLnBrk="0" hangingPunct="1">
            <a:lnSpc>
              <a:spcPct val="100000"/>
            </a:lnSpc>
            <a:spcBef>
              <a:spcPts val="0"/>
            </a:spcBef>
            <a:spcAft>
              <a:spcPts val="0"/>
            </a:spcAft>
            <a:buClrTx/>
            <a:buSzTx/>
            <a:buFontTx/>
            <a:buNone/>
            <a:tabLst/>
            <a:defRPr sz="1000"/>
          </a:pPr>
          <a:fld id="{4E483F83-546B-48E4-817B-49519E47D65F}" type="TxLink">
            <a:rPr lang="en-US" sz="1000" b="0" i="0" u="none" strike="noStrike">
              <a:solidFill>
                <a:srgbClr val="000000"/>
              </a:solidFill>
              <a:latin typeface="Arial"/>
              <a:cs typeface="Arial"/>
            </a:rPr>
            <a:pPr marL="0" marR="0" indent="0" algn="l" defTabSz="914400" rtl="0" eaLnBrk="1" fontAlgn="auto" latinLnBrk="0" hangingPunct="1">
              <a:lnSpc>
                <a:spcPct val="100000"/>
              </a:lnSpc>
              <a:spcBef>
                <a:spcPts val="0"/>
              </a:spcBef>
              <a:spcAft>
                <a:spcPts val="0"/>
              </a:spcAft>
              <a:buClrTx/>
              <a:buSzTx/>
              <a:buFontTx/>
              <a:buNone/>
              <a:tabLst/>
              <a:defRPr sz="1000"/>
            </a:pPr>
            <a:t> </a:t>
          </a:fld>
          <a:endParaRPr lang="en-US" sz="800">
            <a:latin typeface="Arial" pitchFamily="34" charset="0"/>
            <a:cs typeface="Arial" pitchFamily="34" charset="0"/>
          </a:endParaRPr>
        </a:p>
      </xdr:txBody>
    </xdr:sp>
    <xdr:clientData/>
  </xdr:twoCellAnchor>
  <xdr:twoCellAnchor editAs="absolute">
    <xdr:from>
      <xdr:col>1</xdr:col>
      <xdr:colOff>222020</xdr:colOff>
      <xdr:row>3</xdr:row>
      <xdr:rowOff>78673</xdr:rowOff>
    </xdr:from>
    <xdr:to>
      <xdr:col>1</xdr:col>
      <xdr:colOff>1206239</xdr:colOff>
      <xdr:row>5</xdr:row>
      <xdr:rowOff>10623</xdr:rowOff>
    </xdr:to>
    <xdr:sp macro="" textlink="'Variable Management'!B451">
      <xdr:nvSpPr>
        <xdr:cNvPr id="63" name="Text Box 283">
          <a:extLst>
            <a:ext uri="{FF2B5EF4-FFF2-40B4-BE49-F238E27FC236}">
              <a16:creationId xmlns:a16="http://schemas.microsoft.com/office/drawing/2014/main" id="{00000000-0008-0000-0300-00003F000000}"/>
            </a:ext>
          </a:extLst>
        </xdr:cNvPr>
        <xdr:cNvSpPr txBox="1">
          <a:spLocks noChangeArrowheads="1" noTextEdit="1"/>
        </xdr:cNvSpPr>
      </xdr:nvSpPr>
      <xdr:spPr bwMode="auto">
        <a:xfrm>
          <a:off x="876444" y="589661"/>
          <a:ext cx="984219" cy="272609"/>
        </a:xfrm>
        <a:prstGeom prst="rect">
          <a:avLst/>
        </a:prstGeom>
        <a:noFill/>
        <a:ln w="9525">
          <a:noFill/>
          <a:miter lim="800000"/>
          <a:headEnd/>
          <a:tailEnd/>
        </a:ln>
      </xdr:spPr>
      <xdr:txBody>
        <a:bodyPr vertOverflow="clip" wrap="square" lIns="27432" tIns="22860" rIns="0" bIns="0" anchor="t" upright="1"/>
        <a:lstStyle/>
        <a:p>
          <a:pPr algn="l" rtl="0">
            <a:defRPr sz="1000"/>
          </a:pPr>
          <a:fld id="{C6ED40A1-EDED-4BB3-907C-40CD83565E4B}" type="TxLink">
            <a:rPr lang="en-US" sz="1100" b="1" i="0" u="none" strike="noStrike">
              <a:solidFill>
                <a:srgbClr val="FF0000"/>
              </a:solidFill>
              <a:latin typeface="Arial"/>
              <a:cs typeface="Arial"/>
            </a:rPr>
            <a:pPr algn="l" rtl="0">
              <a:defRPr sz="1000"/>
            </a:pPr>
            <a:t>5V...7.4V</a:t>
          </a:fld>
          <a:endParaRPr lang="en-US" sz="1400" b="1" i="0" strike="noStrike">
            <a:solidFill>
              <a:srgbClr val="FF0000"/>
            </a:solidFill>
            <a:latin typeface="Arial" pitchFamily="34" charset="0"/>
            <a:cs typeface="Arial" pitchFamily="34" charset="0"/>
          </a:endParaRPr>
        </a:p>
      </xdr:txBody>
    </xdr:sp>
    <xdr:clientData/>
  </xdr:twoCellAnchor>
  <xdr:twoCellAnchor editAs="absolute">
    <xdr:from>
      <xdr:col>1</xdr:col>
      <xdr:colOff>897814</xdr:colOff>
      <xdr:row>15</xdr:row>
      <xdr:rowOff>70412</xdr:rowOff>
    </xdr:from>
    <xdr:to>
      <xdr:col>2</xdr:col>
      <xdr:colOff>32590</xdr:colOff>
      <xdr:row>16</xdr:row>
      <xdr:rowOff>81226</xdr:rowOff>
    </xdr:to>
    <xdr:sp macro="" textlink="'Variable Management'!D419">
      <xdr:nvSpPr>
        <xdr:cNvPr id="64" name="Text Box 279">
          <a:extLst>
            <a:ext uri="{FF2B5EF4-FFF2-40B4-BE49-F238E27FC236}">
              <a16:creationId xmlns:a16="http://schemas.microsoft.com/office/drawing/2014/main" id="{00000000-0008-0000-0300-000040000000}"/>
            </a:ext>
          </a:extLst>
        </xdr:cNvPr>
        <xdr:cNvSpPr txBox="1">
          <a:spLocks noChangeArrowheads="1"/>
        </xdr:cNvSpPr>
      </xdr:nvSpPr>
      <xdr:spPr bwMode="auto">
        <a:xfrm>
          <a:off x="1552238" y="2625353"/>
          <a:ext cx="533270" cy="181144"/>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fld id="{59CF34ED-6C7D-4B7D-8CCB-720517623826}" type="TxLink">
            <a:rPr lang="en-US" sz="1000" b="0" i="0" u="none" strike="noStrike">
              <a:solidFill>
                <a:srgbClr val="000000"/>
              </a:solidFill>
              <a:latin typeface="Arial"/>
              <a:cs typeface="Arial"/>
            </a:rPr>
            <a:pPr marL="0" marR="0" indent="0" algn="ctr" defTabSz="914400" rtl="0" eaLnBrk="1" fontAlgn="auto" latinLnBrk="0" hangingPunct="1">
              <a:lnSpc>
                <a:spcPct val="100000"/>
              </a:lnSpc>
              <a:spcBef>
                <a:spcPts val="0"/>
              </a:spcBef>
              <a:spcAft>
                <a:spcPts val="0"/>
              </a:spcAft>
              <a:buClrTx/>
              <a:buSzTx/>
              <a:buFontTx/>
              <a:buNone/>
              <a:tabLst/>
              <a:defRPr sz="1000"/>
            </a:pPr>
            <a:t>0Ω</a:t>
          </a:fld>
          <a:endParaRPr lang="en-US" sz="1000">
            <a:latin typeface="Arial" pitchFamily="34" charset="0"/>
            <a:cs typeface="Arial" pitchFamily="34" charset="0"/>
          </a:endParaRPr>
        </a:p>
      </xdr:txBody>
    </xdr:sp>
    <xdr:clientData/>
  </xdr:twoCellAnchor>
  <xdr:twoCellAnchor editAs="absolute">
    <xdr:from>
      <xdr:col>1</xdr:col>
      <xdr:colOff>328560</xdr:colOff>
      <xdr:row>6</xdr:row>
      <xdr:rowOff>103158</xdr:rowOff>
    </xdr:from>
    <xdr:to>
      <xdr:col>1</xdr:col>
      <xdr:colOff>1003985</xdr:colOff>
      <xdr:row>7</xdr:row>
      <xdr:rowOff>103595</xdr:rowOff>
    </xdr:to>
    <xdr:sp macro="" textlink="'Variable Management'!B421">
      <xdr:nvSpPr>
        <xdr:cNvPr id="65" name="Text Box 276">
          <a:extLst>
            <a:ext uri="{FF2B5EF4-FFF2-40B4-BE49-F238E27FC236}">
              <a16:creationId xmlns:a16="http://schemas.microsoft.com/office/drawing/2014/main" id="{00000000-0008-0000-0300-000041000000}"/>
            </a:ext>
          </a:extLst>
        </xdr:cNvPr>
        <xdr:cNvSpPr txBox="1">
          <a:spLocks noChangeArrowheads="1" noTextEdit="1"/>
        </xdr:cNvSpPr>
      </xdr:nvSpPr>
      <xdr:spPr bwMode="auto">
        <a:xfrm>
          <a:off x="982984" y="1125134"/>
          <a:ext cx="675425" cy="170767"/>
        </a:xfrm>
        <a:prstGeom prst="rect">
          <a:avLst/>
        </a:prstGeom>
        <a:noFill/>
        <a:ln w="9525">
          <a:noFill/>
          <a:miter lim="800000"/>
          <a:headEnd/>
          <a:tailEnd/>
        </a:ln>
      </xdr:spPr>
      <xdr:txBody>
        <a:bodyPr vertOverflow="clip" wrap="square" lIns="27432" tIns="22860" rIns="0" bIns="0" anchor="ctr" upright="1"/>
        <a:lstStyle/>
        <a:p>
          <a:pPr algn="r" rtl="0">
            <a:defRPr sz="1000"/>
          </a:pPr>
          <a:fld id="{5870FC66-CAAD-4C4C-B6A3-330B5B471599}"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200kΩ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403912</xdr:colOff>
      <xdr:row>10</xdr:row>
      <xdr:rowOff>11263</xdr:rowOff>
    </xdr:from>
    <xdr:to>
      <xdr:col>1</xdr:col>
      <xdr:colOff>1004163</xdr:colOff>
      <xdr:row>11</xdr:row>
      <xdr:rowOff>88283</xdr:rowOff>
    </xdr:to>
    <xdr:sp macro="" textlink="'Variable Management'!B422">
      <xdr:nvSpPr>
        <xdr:cNvPr id="66" name="Text Box 276">
          <a:extLst>
            <a:ext uri="{FF2B5EF4-FFF2-40B4-BE49-F238E27FC236}">
              <a16:creationId xmlns:a16="http://schemas.microsoft.com/office/drawing/2014/main" id="{00000000-0008-0000-0300-000042000000}"/>
            </a:ext>
          </a:extLst>
        </xdr:cNvPr>
        <xdr:cNvSpPr txBox="1">
          <a:spLocks noChangeArrowheads="1" noTextEdit="1"/>
        </xdr:cNvSpPr>
      </xdr:nvSpPr>
      <xdr:spPr bwMode="auto">
        <a:xfrm>
          <a:off x="1058336" y="1714557"/>
          <a:ext cx="600251" cy="247350"/>
        </a:xfrm>
        <a:prstGeom prst="rect">
          <a:avLst/>
        </a:prstGeom>
        <a:noFill/>
        <a:ln w="9525">
          <a:noFill/>
          <a:miter lim="800000"/>
          <a:headEnd/>
          <a:tailEnd/>
        </a:ln>
      </xdr:spPr>
      <xdr:txBody>
        <a:bodyPr vertOverflow="clip" wrap="square" lIns="27432" tIns="22860" rIns="0" bIns="0" anchor="t" upright="1"/>
        <a:lstStyle/>
        <a:p>
          <a:pPr algn="r" rtl="0">
            <a:defRPr sz="1000"/>
          </a:pPr>
          <a:fld id="{59617F90-7F7F-43F9-AB4B-411A3D6FCFA0}" type="TxLink">
            <a:rPr lang="en-US" sz="1000" b="0" i="0" u="none" strike="noStrike" baseline="0">
              <a:solidFill>
                <a:srgbClr val="000000"/>
              </a:solidFill>
              <a:latin typeface="Arial" panose="020B0604020202020204" pitchFamily="34" charset="0"/>
              <a:cs typeface="Arial" panose="020B0604020202020204" pitchFamily="34" charset="0"/>
            </a:rPr>
            <a:pPr algn="r" rtl="0">
              <a:defRPr sz="1000"/>
            </a:pPr>
            <a:t>9.53kΩ</a:t>
          </a:fld>
          <a:endParaRPr lang="en-US" sz="1000" b="0" i="0" u="none" strike="noStrike" baseline="0">
            <a:solidFill>
              <a:srgbClr val="000000"/>
            </a:solidFill>
            <a:latin typeface="Arial" panose="020B0604020202020204" pitchFamily="34" charset="0"/>
            <a:cs typeface="Arial" panose="020B0604020202020204" pitchFamily="34" charset="0"/>
          </a:endParaRPr>
        </a:p>
      </xdr:txBody>
    </xdr:sp>
    <xdr:clientData/>
  </xdr:twoCellAnchor>
  <xdr:twoCellAnchor editAs="absolute">
    <xdr:from>
      <xdr:col>1</xdr:col>
      <xdr:colOff>1319056</xdr:colOff>
      <xdr:row>4</xdr:row>
      <xdr:rowOff>74181</xdr:rowOff>
    </xdr:from>
    <xdr:to>
      <xdr:col>2</xdr:col>
      <xdr:colOff>502766</xdr:colOff>
      <xdr:row>5</xdr:row>
      <xdr:rowOff>106405</xdr:rowOff>
    </xdr:to>
    <xdr:sp macro="" textlink="'Variable Management'!B405">
      <xdr:nvSpPr>
        <xdr:cNvPr id="67" name="Text Box 276">
          <a:extLst>
            <a:ext uri="{FF2B5EF4-FFF2-40B4-BE49-F238E27FC236}">
              <a16:creationId xmlns:a16="http://schemas.microsoft.com/office/drawing/2014/main" id="{00000000-0008-0000-0300-000043000000}"/>
            </a:ext>
          </a:extLst>
        </xdr:cNvPr>
        <xdr:cNvSpPr txBox="1">
          <a:spLocks noChangeArrowheads="1" noTextEdit="1"/>
        </xdr:cNvSpPr>
      </xdr:nvSpPr>
      <xdr:spPr bwMode="auto">
        <a:xfrm>
          <a:off x="1973480" y="755499"/>
          <a:ext cx="582204" cy="202553"/>
        </a:xfrm>
        <a:prstGeom prst="rect">
          <a:avLst/>
        </a:prstGeom>
        <a:noFill/>
        <a:ln w="9525">
          <a:noFill/>
          <a:miter lim="800000"/>
          <a:headEnd/>
          <a:tailEnd/>
        </a:ln>
      </xdr:spPr>
      <xdr:txBody>
        <a:bodyPr vertOverflow="clip" wrap="square" lIns="27432" tIns="22860" rIns="0" bIns="0" anchor="ctr" upright="1"/>
        <a:lstStyle/>
        <a:p>
          <a:pPr algn="r" rtl="0">
            <a:defRPr sz="1000"/>
          </a:pPr>
          <a:fld id="{1733A4D7-3523-40B9-84DE-2D041844A89F}"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editAs="absolute">
    <xdr:from>
      <xdr:col>2</xdr:col>
      <xdr:colOff>34862</xdr:colOff>
      <xdr:row>6</xdr:row>
      <xdr:rowOff>136852</xdr:rowOff>
    </xdr:from>
    <xdr:to>
      <xdr:col>2</xdr:col>
      <xdr:colOff>502766</xdr:colOff>
      <xdr:row>8</xdr:row>
      <xdr:rowOff>35696</xdr:rowOff>
    </xdr:to>
    <xdr:sp macro="" textlink="'Variable Management'!B404">
      <xdr:nvSpPr>
        <xdr:cNvPr id="68" name="Text Box 276">
          <a:extLst>
            <a:ext uri="{FF2B5EF4-FFF2-40B4-BE49-F238E27FC236}">
              <a16:creationId xmlns:a16="http://schemas.microsoft.com/office/drawing/2014/main" id="{00000000-0008-0000-0300-000044000000}"/>
            </a:ext>
          </a:extLst>
        </xdr:cNvPr>
        <xdr:cNvSpPr txBox="1">
          <a:spLocks noChangeArrowheads="1" noTextEdit="1"/>
        </xdr:cNvSpPr>
      </xdr:nvSpPr>
      <xdr:spPr bwMode="auto">
        <a:xfrm>
          <a:off x="2087780" y="1158828"/>
          <a:ext cx="467904" cy="239503"/>
        </a:xfrm>
        <a:prstGeom prst="rect">
          <a:avLst/>
        </a:prstGeom>
        <a:noFill/>
        <a:ln w="9525">
          <a:noFill/>
          <a:miter lim="800000"/>
          <a:headEnd/>
          <a:tailEnd/>
        </a:ln>
      </xdr:spPr>
      <xdr:txBody>
        <a:bodyPr vertOverflow="clip" wrap="square" lIns="27432" tIns="22860" rIns="0" bIns="0" anchor="ctr" upright="1"/>
        <a:lstStyle/>
        <a:p>
          <a:pPr algn="r" rtl="0">
            <a:defRPr sz="1000"/>
          </a:pPr>
          <a:fld id="{64A40C25-B8C4-4137-A6E6-043573078923}" type="TxLink">
            <a:rPr lang="en-US" sz="1000" b="0" i="0" u="none" strike="noStrike" baseline="0">
              <a:solidFill>
                <a:srgbClr val="000000"/>
              </a:solidFill>
              <a:latin typeface="Arial"/>
              <a:cs typeface="Arial"/>
            </a:rPr>
            <a:pPr algn="r" rtl="0">
              <a:defRPr sz="1000"/>
            </a:pPr>
            <a:t> </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612187</xdr:colOff>
      <xdr:row>13</xdr:row>
      <xdr:rowOff>7296</xdr:rowOff>
    </xdr:from>
    <xdr:to>
      <xdr:col>4</xdr:col>
      <xdr:colOff>529928</xdr:colOff>
      <xdr:row>15</xdr:row>
      <xdr:rowOff>106291</xdr:rowOff>
    </xdr:to>
    <xdr:sp macro="" textlink="'Variable Management'!P29">
      <xdr:nvSpPr>
        <xdr:cNvPr id="69" name="Text Box 255">
          <a:extLst>
            <a:ext uri="{FF2B5EF4-FFF2-40B4-BE49-F238E27FC236}">
              <a16:creationId xmlns:a16="http://schemas.microsoft.com/office/drawing/2014/main" id="{00000000-0008-0000-0300-000045000000}"/>
            </a:ext>
          </a:extLst>
        </xdr:cNvPr>
        <xdr:cNvSpPr txBox="1">
          <a:spLocks noChangeArrowheads="1"/>
        </xdr:cNvSpPr>
      </xdr:nvSpPr>
      <xdr:spPr bwMode="auto">
        <a:xfrm>
          <a:off x="2665105" y="2221578"/>
          <a:ext cx="2400964" cy="439654"/>
        </a:xfrm>
        <a:prstGeom prst="rect">
          <a:avLst/>
        </a:prstGeom>
        <a:noFill/>
        <a:ln w="9525">
          <a:noFill/>
          <a:miter lim="800000"/>
          <a:headEnd/>
          <a:tailEnd/>
        </a:ln>
      </xdr:spPr>
      <xdr:txBody>
        <a:bodyPr vertOverflow="clip" wrap="square" lIns="27432" tIns="27432" rIns="0" bIns="0" anchor="ctr" upright="1"/>
        <a:lstStyle/>
        <a:p>
          <a:pPr algn="ctr" rtl="0">
            <a:defRPr sz="1000"/>
          </a:pPr>
          <a:fld id="{3D1EE03A-7ADC-44E7-8465-7E5A0D981313}" type="TxLink">
            <a:rPr lang="en-US" sz="1400" b="1" i="0" u="none" strike="noStrike">
              <a:solidFill>
                <a:srgbClr val="FF0000"/>
              </a:solidFill>
              <a:latin typeface="Arial"/>
              <a:cs typeface="Arial"/>
            </a:rPr>
            <a:pPr algn="ctr" rtl="0">
              <a:defRPr sz="1000"/>
            </a:pPr>
            <a:t>LM25148-Q1</a:t>
          </a:fld>
          <a:endParaRPr lang="en-US" sz="4000" b="1" i="0" strike="noStrike" baseline="-25000">
            <a:solidFill>
              <a:srgbClr val="FF0000"/>
            </a:solidFill>
            <a:latin typeface="Arial" pitchFamily="34" charset="0"/>
            <a:cs typeface="Arial" pitchFamily="34" charset="0"/>
          </a:endParaRPr>
        </a:p>
      </xdr:txBody>
    </xdr:sp>
    <xdr:clientData/>
  </xdr:twoCellAnchor>
  <xdr:twoCellAnchor editAs="absolute">
    <xdr:from>
      <xdr:col>1</xdr:col>
      <xdr:colOff>837118</xdr:colOff>
      <xdr:row>20</xdr:row>
      <xdr:rowOff>54945</xdr:rowOff>
    </xdr:from>
    <xdr:to>
      <xdr:col>2</xdr:col>
      <xdr:colOff>85309</xdr:colOff>
      <xdr:row>21</xdr:row>
      <xdr:rowOff>123967</xdr:rowOff>
    </xdr:to>
    <xdr:sp macro="" textlink="'Variable Management'!E407">
      <xdr:nvSpPr>
        <xdr:cNvPr id="70" name="Text Box 263">
          <a:extLst>
            <a:ext uri="{FF2B5EF4-FFF2-40B4-BE49-F238E27FC236}">
              <a16:creationId xmlns:a16="http://schemas.microsoft.com/office/drawing/2014/main" id="{00000000-0008-0000-0300-000046000000}"/>
            </a:ext>
          </a:extLst>
        </xdr:cNvPr>
        <xdr:cNvSpPr txBox="1">
          <a:spLocks noChangeArrowheads="1" noTextEdit="1"/>
        </xdr:cNvSpPr>
      </xdr:nvSpPr>
      <xdr:spPr bwMode="auto">
        <a:xfrm>
          <a:off x="1491542" y="3461533"/>
          <a:ext cx="646685" cy="239352"/>
        </a:xfrm>
        <a:prstGeom prst="rect">
          <a:avLst/>
        </a:prstGeom>
        <a:noFill/>
        <a:ln w="9525">
          <a:noFill/>
          <a:miter lim="800000"/>
          <a:headEnd/>
          <a:tailEnd/>
        </a:ln>
      </xdr:spPr>
      <xdr:txBody>
        <a:bodyPr vertOverflow="clip" wrap="square" lIns="27432" tIns="22860" rIns="0" bIns="0" anchor="t" upright="1"/>
        <a:lstStyle/>
        <a:p>
          <a:pPr algn="ctr" rtl="0">
            <a:defRPr sz="1000"/>
          </a:pPr>
          <a:fld id="{3031C7D8-B5EB-4140-BBBF-1F7FE936F989}"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1</xdr:col>
      <xdr:colOff>264319</xdr:colOff>
      <xdr:row>20</xdr:row>
      <xdr:rowOff>16124</xdr:rowOff>
    </xdr:from>
    <xdr:to>
      <xdr:col>1</xdr:col>
      <xdr:colOff>900955</xdr:colOff>
      <xdr:row>21</xdr:row>
      <xdr:rowOff>123141</xdr:rowOff>
    </xdr:to>
    <xdr:sp macro="" textlink="'Variable Management'!C407">
      <xdr:nvSpPr>
        <xdr:cNvPr id="71" name="Text Box 263">
          <a:extLst>
            <a:ext uri="{FF2B5EF4-FFF2-40B4-BE49-F238E27FC236}">
              <a16:creationId xmlns:a16="http://schemas.microsoft.com/office/drawing/2014/main" id="{00000000-0008-0000-0300-000047000000}"/>
            </a:ext>
          </a:extLst>
        </xdr:cNvPr>
        <xdr:cNvSpPr txBox="1">
          <a:spLocks noChangeArrowheads="1" noTextEdit="1"/>
        </xdr:cNvSpPr>
      </xdr:nvSpPr>
      <xdr:spPr bwMode="auto">
        <a:xfrm>
          <a:off x="918743" y="3422712"/>
          <a:ext cx="636636" cy="277347"/>
        </a:xfrm>
        <a:prstGeom prst="rect">
          <a:avLst/>
        </a:prstGeom>
        <a:noFill/>
        <a:ln w="9525">
          <a:noFill/>
          <a:miter lim="800000"/>
          <a:headEnd/>
          <a:tailEnd/>
        </a:ln>
      </xdr:spPr>
      <xdr:txBody>
        <a:bodyPr vertOverflow="clip" wrap="square" lIns="27432" tIns="22860" rIns="0" bIns="0" anchor="t" upright="1"/>
        <a:lstStyle/>
        <a:p>
          <a:pPr algn="ctr" rtl="0">
            <a:defRPr sz="1000"/>
          </a:pPr>
          <a:fld id="{4871C2E7-D21C-4ED8-8DE5-93C2B2A18B90}" type="TxLink">
            <a:rPr lang="en-US" sz="1000" b="0" i="0" u="none" strike="noStrike" baseline="0">
              <a:solidFill>
                <a:srgbClr val="000000"/>
              </a:solidFill>
              <a:latin typeface="Arial"/>
              <a:cs typeface="Arial"/>
            </a:rPr>
            <a:pPr algn="ctr"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absolute">
    <xdr:from>
      <xdr:col>5</xdr:col>
      <xdr:colOff>296845</xdr:colOff>
      <xdr:row>19</xdr:row>
      <xdr:rowOff>121810</xdr:rowOff>
    </xdr:from>
    <xdr:to>
      <xdr:col>6</xdr:col>
      <xdr:colOff>565107</xdr:colOff>
      <xdr:row>22</xdr:row>
      <xdr:rowOff>6941</xdr:rowOff>
    </xdr:to>
    <xdr:sp macro="" textlink="">
      <xdr:nvSpPr>
        <xdr:cNvPr id="72" name="Text Box 249">
          <a:extLst>
            <a:ext uri="{FF2B5EF4-FFF2-40B4-BE49-F238E27FC236}">
              <a16:creationId xmlns:a16="http://schemas.microsoft.com/office/drawing/2014/main" id="{00000000-0008-0000-0300-000048000000}"/>
            </a:ext>
          </a:extLst>
        </xdr:cNvPr>
        <xdr:cNvSpPr txBox="1">
          <a:spLocks noChangeArrowheads="1"/>
        </xdr:cNvSpPr>
      </xdr:nvSpPr>
      <xdr:spPr bwMode="auto">
        <a:xfrm>
          <a:off x="6025292" y="3358069"/>
          <a:ext cx="1675721" cy="39611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Connect to 5V rail </a:t>
          </a:r>
        </a:p>
        <a:p>
          <a:pPr algn="l" rtl="0">
            <a:defRPr sz="1000"/>
          </a:pPr>
          <a:r>
            <a:rPr lang="en-US" sz="1000" b="0" i="0" strike="noStrike">
              <a:solidFill>
                <a:srgbClr val="000000"/>
              </a:solidFill>
              <a:latin typeface="Arial" pitchFamily="34" charset="0"/>
              <a:cs typeface="Arial" pitchFamily="34" charset="0"/>
            </a:rPr>
            <a:t>(or</a:t>
          </a:r>
          <a:r>
            <a:rPr lang="en-US" sz="1000" b="0" i="0" strike="noStrike" baseline="0">
              <a:solidFill>
                <a:srgbClr val="000000"/>
              </a:solidFill>
              <a:latin typeface="Arial" pitchFamily="34" charset="0"/>
              <a:cs typeface="Arial" pitchFamily="34" charset="0"/>
            </a:rPr>
            <a:t> tie to GND if not used)</a:t>
          </a:r>
          <a:endParaRPr lang="en-US" sz="1000" b="0" i="0" strike="noStrike" baseline="-25000">
            <a:solidFill>
              <a:srgbClr val="000000"/>
            </a:solidFill>
            <a:latin typeface="Arial" pitchFamily="34" charset="0"/>
            <a:cs typeface="Arial"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101600</xdr:colOff>
          <xdr:row>9</xdr:row>
          <xdr:rowOff>76200</xdr:rowOff>
        </xdr:from>
        <xdr:to>
          <xdr:col>24</xdr:col>
          <xdr:colOff>228600</xdr:colOff>
          <xdr:row>36</xdr:row>
          <xdr:rowOff>76200</xdr:rowOff>
        </xdr:to>
        <xdr:sp macro="" textlink="">
          <xdr:nvSpPr>
            <xdr:cNvPr id="819203" name="Object 3" hidden="1">
              <a:extLst>
                <a:ext uri="{63B3BB69-23CF-44E3-9099-C40C66FF867C}">
                  <a14:compatExt spid="_x0000_s819203"/>
                </a:ext>
                <a:ext uri="{FF2B5EF4-FFF2-40B4-BE49-F238E27FC236}">
                  <a16:creationId xmlns:a16="http://schemas.microsoft.com/office/drawing/2014/main" id="{00000000-0008-0000-0400-000003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139700</xdr:colOff>
          <xdr:row>69</xdr:row>
          <xdr:rowOff>101600</xdr:rowOff>
        </xdr:from>
        <xdr:to>
          <xdr:col>24</xdr:col>
          <xdr:colOff>139700</xdr:colOff>
          <xdr:row>96</xdr:row>
          <xdr:rowOff>69850</xdr:rowOff>
        </xdr:to>
        <xdr:sp macro="" textlink="">
          <xdr:nvSpPr>
            <xdr:cNvPr id="819207" name="Object 7" hidden="1">
              <a:extLst>
                <a:ext uri="{63B3BB69-23CF-44E3-9099-C40C66FF867C}">
                  <a14:compatExt spid="_x0000_s819207"/>
                </a:ext>
                <a:ext uri="{FF2B5EF4-FFF2-40B4-BE49-F238E27FC236}">
                  <a16:creationId xmlns:a16="http://schemas.microsoft.com/office/drawing/2014/main" id="{00000000-0008-0000-0400-000007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101600</xdr:colOff>
          <xdr:row>40</xdr:row>
          <xdr:rowOff>63500</xdr:rowOff>
        </xdr:from>
        <xdr:to>
          <xdr:col>24</xdr:col>
          <xdr:colOff>107950</xdr:colOff>
          <xdr:row>67</xdr:row>
          <xdr:rowOff>25400</xdr:rowOff>
        </xdr:to>
        <xdr:sp macro="" textlink="">
          <xdr:nvSpPr>
            <xdr:cNvPr id="819208" name="Object 8" hidden="1">
              <a:extLst>
                <a:ext uri="{63B3BB69-23CF-44E3-9099-C40C66FF867C}">
                  <a14:compatExt spid="_x0000_s819208"/>
                </a:ext>
                <a:ext uri="{FF2B5EF4-FFF2-40B4-BE49-F238E27FC236}">
                  <a16:creationId xmlns:a16="http://schemas.microsoft.com/office/drawing/2014/main" id="{00000000-0008-0000-0400-000008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336550</xdr:colOff>
          <xdr:row>40</xdr:row>
          <xdr:rowOff>63500</xdr:rowOff>
        </xdr:from>
        <xdr:to>
          <xdr:col>12</xdr:col>
          <xdr:colOff>444500</xdr:colOff>
          <xdr:row>67</xdr:row>
          <xdr:rowOff>63500</xdr:rowOff>
        </xdr:to>
        <xdr:sp macro="" textlink="">
          <xdr:nvSpPr>
            <xdr:cNvPr id="819209" name="Object 9" hidden="1">
              <a:extLst>
                <a:ext uri="{63B3BB69-23CF-44E3-9099-C40C66FF867C}">
                  <a14:compatExt spid="_x0000_s819209"/>
                </a:ext>
                <a:ext uri="{FF2B5EF4-FFF2-40B4-BE49-F238E27FC236}">
                  <a16:creationId xmlns:a16="http://schemas.microsoft.com/office/drawing/2014/main" id="{00000000-0008-0000-0400-000009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69</xdr:row>
          <xdr:rowOff>114300</xdr:rowOff>
        </xdr:from>
        <xdr:to>
          <xdr:col>12</xdr:col>
          <xdr:colOff>381000</xdr:colOff>
          <xdr:row>96</xdr:row>
          <xdr:rowOff>63500</xdr:rowOff>
        </xdr:to>
        <xdr:sp macro="" textlink="">
          <xdr:nvSpPr>
            <xdr:cNvPr id="819210" name="Object 10" hidden="1">
              <a:extLst>
                <a:ext uri="{63B3BB69-23CF-44E3-9099-C40C66FF867C}">
                  <a14:compatExt spid="_x0000_s819210"/>
                </a:ext>
                <a:ext uri="{FF2B5EF4-FFF2-40B4-BE49-F238E27FC236}">
                  <a16:creationId xmlns:a16="http://schemas.microsoft.com/office/drawing/2014/main" id="{00000000-0008-0000-0400-00000A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xdr:colOff>
          <xdr:row>9</xdr:row>
          <xdr:rowOff>76200</xdr:rowOff>
        </xdr:from>
        <xdr:to>
          <xdr:col>12</xdr:col>
          <xdr:colOff>444500</xdr:colOff>
          <xdr:row>36</xdr:row>
          <xdr:rowOff>31750</xdr:rowOff>
        </xdr:to>
        <xdr:sp macro="" textlink="">
          <xdr:nvSpPr>
            <xdr:cNvPr id="819211" name="Object 11" hidden="1">
              <a:extLst>
                <a:ext uri="{63B3BB69-23CF-44E3-9099-C40C66FF867C}">
                  <a14:compatExt spid="_x0000_s819211"/>
                </a:ext>
                <a:ext uri="{FF2B5EF4-FFF2-40B4-BE49-F238E27FC236}">
                  <a16:creationId xmlns:a16="http://schemas.microsoft.com/office/drawing/2014/main" id="{00000000-0008-0000-0400-00000B800C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11</xdr:col>
      <xdr:colOff>552450</xdr:colOff>
      <xdr:row>36</xdr:row>
      <xdr:rowOff>95250</xdr:rowOff>
    </xdr:from>
    <xdr:to>
      <xdr:col>21</xdr:col>
      <xdr:colOff>552450</xdr:colOff>
      <xdr:row>68</xdr:row>
      <xdr:rowOff>38100</xdr:rowOff>
    </xdr:to>
    <xdr:grpSp>
      <xdr:nvGrpSpPr>
        <xdr:cNvPr id="2" name="Group 14">
          <a:extLst>
            <a:ext uri="{FF2B5EF4-FFF2-40B4-BE49-F238E27FC236}">
              <a16:creationId xmlns:a16="http://schemas.microsoft.com/office/drawing/2014/main" id="{00000000-0008-0000-0500-000002000000}"/>
            </a:ext>
          </a:extLst>
        </xdr:cNvPr>
        <xdr:cNvGrpSpPr>
          <a:grpSpLocks/>
        </xdr:cNvGrpSpPr>
      </xdr:nvGrpSpPr>
      <xdr:grpSpPr bwMode="auto">
        <a:xfrm>
          <a:off x="13832233" y="6251989"/>
          <a:ext cx="6835913" cy="5171937"/>
          <a:chOff x="3209925" y="19650076"/>
          <a:chExt cx="5619750" cy="5910101"/>
        </a:xfrm>
      </xdr:grpSpPr>
      <xdr:pic>
        <xdr:nvPicPr>
          <xdr:cNvPr id="3" name="Picture 11" descr="Error amp - no ref des.tif">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3209925" y="19659867"/>
            <a:ext cx="5619750" cy="5900310"/>
          </a:xfrm>
          <a:prstGeom prst="rect">
            <a:avLst/>
          </a:prstGeom>
          <a:noFill/>
          <a:ln w="9525">
            <a:noFill/>
            <a:miter lim="800000"/>
            <a:headEnd/>
            <a:tailEnd/>
          </a:ln>
        </xdr:spPr>
      </xdr:pic>
      <xdr:sp macro="" textlink="$A$408">
        <xdr:nvSpPr>
          <xdr:cNvPr id="4" name="Text Box 5">
            <a:extLst>
              <a:ext uri="{FF2B5EF4-FFF2-40B4-BE49-F238E27FC236}">
                <a16:creationId xmlns:a16="http://schemas.microsoft.com/office/drawing/2014/main" id="{00000000-0008-0000-0500-000004000000}"/>
              </a:ext>
            </a:extLst>
          </xdr:cNvPr>
          <xdr:cNvSpPr txBox="1">
            <a:spLocks noChangeArrowheads="1" noTextEdit="1"/>
          </xdr:cNvSpPr>
        </xdr:nvSpPr>
        <xdr:spPr bwMode="auto">
          <a:xfrm>
            <a:off x="5400675" y="23797353"/>
            <a:ext cx="961159" cy="287619"/>
          </a:xfrm>
          <a:prstGeom prst="rect">
            <a:avLst/>
          </a:prstGeom>
          <a:noFill/>
          <a:ln w="9525">
            <a:noFill/>
            <a:miter lim="800000"/>
            <a:headEnd/>
            <a:tailEnd/>
          </a:ln>
        </xdr:spPr>
        <xdr:txBody>
          <a:bodyPr vertOverflow="clip" wrap="square" lIns="27432" tIns="22860" rIns="0" bIns="0" anchor="t" upright="1"/>
          <a:lstStyle/>
          <a:p>
            <a:pPr algn="l" rtl="0">
              <a:defRPr sz="1000"/>
            </a:pPr>
            <a:fld id="{646744A9-B6E0-4B97-A665-5D50832E7F13}" type="TxLink">
              <a:rPr lang="en-US" sz="1000" b="1" i="0" u="none" strike="noStrike" baseline="0">
                <a:solidFill>
                  <a:srgbClr val="000000"/>
                </a:solidFill>
                <a:latin typeface="Arialri"/>
                <a:cs typeface="Arial"/>
              </a:rPr>
              <a:pPr algn="l" rtl="0">
                <a:defRPr sz="1000"/>
              </a:pPr>
              <a:t>CC1 = 0.82nF</a:t>
            </a:fld>
            <a:endParaRPr lang="en-US" sz="1000" b="1" i="0" u="none" strike="noStrike" baseline="0">
              <a:solidFill>
                <a:srgbClr val="000000"/>
              </a:solidFill>
              <a:latin typeface="Arial"/>
              <a:cs typeface="Arial"/>
            </a:endParaRPr>
          </a:p>
        </xdr:txBody>
      </xdr:sp>
      <xdr:sp macro="" textlink="#REF!">
        <xdr:nvSpPr>
          <xdr:cNvPr id="5" name="Text Box 6">
            <a:extLst>
              <a:ext uri="{FF2B5EF4-FFF2-40B4-BE49-F238E27FC236}">
                <a16:creationId xmlns:a16="http://schemas.microsoft.com/office/drawing/2014/main" id="{00000000-0008-0000-0500-000005000000}"/>
              </a:ext>
            </a:extLst>
          </xdr:cNvPr>
          <xdr:cNvSpPr txBox="1">
            <a:spLocks noChangeArrowheads="1" noTextEdit="1"/>
          </xdr:cNvSpPr>
        </xdr:nvSpPr>
        <xdr:spPr bwMode="auto">
          <a:xfrm>
            <a:off x="3322493" y="23862299"/>
            <a:ext cx="805295" cy="556681"/>
          </a:xfrm>
          <a:prstGeom prst="rect">
            <a:avLst/>
          </a:prstGeom>
          <a:noFill/>
          <a:ln w="9525">
            <a:noFill/>
            <a:miter lim="800000"/>
            <a:headEnd/>
            <a:tailEnd/>
          </a:ln>
        </xdr:spPr>
        <xdr:txBody>
          <a:bodyPr vertOverflow="clip" wrap="square" lIns="27432" tIns="22860" rIns="0" bIns="0" anchor="t" upright="1"/>
          <a:lstStyle/>
          <a:p>
            <a:pPr algn="r" rtl="0">
              <a:defRPr sz="1000"/>
            </a:pPr>
            <a:fld id="{872494E3-3BCB-4B8A-8556-319E6FBD4F6C}" type="TxLink">
              <a:rPr lang="en-US" sz="1000" b="1" i="0" u="none" strike="noStrike" baseline="0">
                <a:solidFill>
                  <a:srgbClr val="000000"/>
                </a:solidFill>
                <a:latin typeface="Arialri"/>
                <a:cs typeface="Arial"/>
              </a:rPr>
              <a:pPr algn="r" rtl="0">
                <a:defRPr sz="1000"/>
              </a:pPr>
              <a:t> </a:t>
            </a:fld>
            <a:endParaRPr lang="en-US" sz="1000" b="1" i="0" u="none" strike="noStrike" baseline="0">
              <a:solidFill>
                <a:srgbClr val="000000"/>
              </a:solidFill>
              <a:latin typeface="Arial"/>
              <a:cs typeface="Arial"/>
            </a:endParaRPr>
          </a:p>
        </xdr:txBody>
      </xdr:sp>
      <xdr:sp macro="" textlink="$A$417">
        <xdr:nvSpPr>
          <xdr:cNvPr id="6" name="Text Box 9">
            <a:extLst>
              <a:ext uri="{FF2B5EF4-FFF2-40B4-BE49-F238E27FC236}">
                <a16:creationId xmlns:a16="http://schemas.microsoft.com/office/drawing/2014/main" id="{00000000-0008-0000-0500-000006000000}"/>
              </a:ext>
            </a:extLst>
          </xdr:cNvPr>
          <xdr:cNvSpPr txBox="1">
            <a:spLocks noChangeArrowheads="1" noTextEdit="1"/>
          </xdr:cNvSpPr>
        </xdr:nvSpPr>
        <xdr:spPr bwMode="auto">
          <a:xfrm>
            <a:off x="7539470" y="20865497"/>
            <a:ext cx="909205" cy="528847"/>
          </a:xfrm>
          <a:prstGeom prst="rect">
            <a:avLst/>
          </a:prstGeom>
          <a:noFill/>
          <a:ln w="9525">
            <a:noFill/>
            <a:miter lim="800000"/>
            <a:headEnd/>
            <a:tailEnd/>
          </a:ln>
        </xdr:spPr>
        <xdr:txBody>
          <a:bodyPr vertOverflow="clip" wrap="square" lIns="27432" tIns="22860" rIns="0" bIns="0" anchor="t" upright="1"/>
          <a:lstStyle/>
          <a:p>
            <a:pPr algn="r" rtl="0">
              <a:defRPr sz="1000"/>
            </a:pPr>
            <a:fld id="{52D31661-C732-4DB5-B625-AC6B80EEA28C}" type="TxLink">
              <a:rPr lang="en-US" sz="1000" b="1" i="0" u="none" strike="noStrike" baseline="0">
                <a:solidFill>
                  <a:srgbClr val="000000"/>
                </a:solidFill>
                <a:latin typeface="Arialri"/>
                <a:cs typeface="Arial"/>
              </a:rPr>
              <a:pPr algn="r" rtl="0">
                <a:defRPr sz="1000"/>
              </a:pPr>
              <a:t>RFB1 = 78.7kΩ</a:t>
            </a:fld>
            <a:endParaRPr lang="el-GR" sz="1000" b="1" i="0" u="none" strike="noStrike" baseline="0">
              <a:solidFill>
                <a:srgbClr val="000000"/>
              </a:solidFill>
              <a:latin typeface="Arial"/>
              <a:cs typeface="Arial"/>
            </a:endParaRPr>
          </a:p>
        </xdr:txBody>
      </xdr:sp>
      <xdr:sp macro="" textlink="$A$418">
        <xdr:nvSpPr>
          <xdr:cNvPr id="7" name="Text Box 10">
            <a:extLst>
              <a:ext uri="{FF2B5EF4-FFF2-40B4-BE49-F238E27FC236}">
                <a16:creationId xmlns:a16="http://schemas.microsoft.com/office/drawing/2014/main" id="{00000000-0008-0000-0500-000007000000}"/>
              </a:ext>
            </a:extLst>
          </xdr:cNvPr>
          <xdr:cNvSpPr txBox="1">
            <a:spLocks noChangeArrowheads="1" noTextEdit="1"/>
          </xdr:cNvSpPr>
        </xdr:nvSpPr>
        <xdr:spPr bwMode="auto">
          <a:xfrm>
            <a:off x="7565449" y="22257201"/>
            <a:ext cx="917864" cy="324731"/>
          </a:xfrm>
          <a:prstGeom prst="rect">
            <a:avLst/>
          </a:prstGeom>
          <a:noFill/>
          <a:ln w="9525">
            <a:noFill/>
            <a:miter lim="800000"/>
            <a:headEnd/>
            <a:tailEnd/>
          </a:ln>
        </xdr:spPr>
        <xdr:txBody>
          <a:bodyPr vertOverflow="clip" wrap="square" lIns="27432" tIns="22860" rIns="0" bIns="0" anchor="t" upright="1"/>
          <a:lstStyle/>
          <a:p>
            <a:pPr algn="r" rtl="0">
              <a:defRPr sz="1000"/>
            </a:pPr>
            <a:fld id="{49F0D989-1BAE-4B3F-9979-B5F5B92776AD}" type="TxLink">
              <a:rPr lang="en-US" sz="1000" b="1" i="0" u="none" strike="noStrike" baseline="0">
                <a:solidFill>
                  <a:srgbClr val="000000"/>
                </a:solidFill>
                <a:latin typeface="Arialri"/>
                <a:cs typeface="Arial"/>
              </a:rPr>
              <a:pPr algn="r" rtl="0">
                <a:defRPr sz="1000"/>
              </a:pPr>
              <a:t>RFB2 = 792kΩ</a:t>
            </a:fld>
            <a:endParaRPr lang="el-GR" sz="1000" b="1" i="0" u="none" strike="noStrike" baseline="0">
              <a:solidFill>
                <a:srgbClr val="000000"/>
              </a:solidFill>
              <a:latin typeface="Arial"/>
              <a:cs typeface="Arial"/>
            </a:endParaRPr>
          </a:p>
        </xdr:txBody>
      </xdr:sp>
      <xdr:sp macro="" textlink="$A$407">
        <xdr:nvSpPr>
          <xdr:cNvPr id="8" name="Text Box 4">
            <a:extLst>
              <a:ext uri="{FF2B5EF4-FFF2-40B4-BE49-F238E27FC236}">
                <a16:creationId xmlns:a16="http://schemas.microsoft.com/office/drawing/2014/main" id="{00000000-0008-0000-0500-000008000000}"/>
              </a:ext>
            </a:extLst>
          </xdr:cNvPr>
          <xdr:cNvSpPr txBox="1">
            <a:spLocks noChangeArrowheads="1" noTextEdit="1"/>
          </xdr:cNvSpPr>
        </xdr:nvSpPr>
        <xdr:spPr bwMode="auto">
          <a:xfrm>
            <a:off x="5314083" y="22860271"/>
            <a:ext cx="874568" cy="417511"/>
          </a:xfrm>
          <a:prstGeom prst="rect">
            <a:avLst/>
          </a:prstGeom>
          <a:noFill/>
          <a:ln w="9525">
            <a:noFill/>
            <a:miter lim="800000"/>
            <a:headEnd/>
            <a:tailEnd/>
          </a:ln>
        </xdr:spPr>
        <xdr:txBody>
          <a:bodyPr vertOverflow="clip" wrap="square" lIns="27432" tIns="22860" rIns="0" bIns="0" anchor="t" upright="1"/>
          <a:lstStyle/>
          <a:p>
            <a:pPr algn="l" rtl="0">
              <a:defRPr sz="1000"/>
            </a:pPr>
            <a:fld id="{899FBA2F-0000-4A1A-AACB-0C4C45759FAE}" type="TxLink">
              <a:rPr lang="en-US" sz="1000" b="1" i="0" u="none" strike="noStrike" baseline="0">
                <a:solidFill>
                  <a:srgbClr val="000000"/>
                </a:solidFill>
                <a:latin typeface="Arialri"/>
                <a:cs typeface="Arial"/>
              </a:rPr>
              <a:pPr algn="l" rtl="0">
                <a:defRPr sz="1000"/>
              </a:pPr>
              <a:t>RC1 = 45.3kΩ</a:t>
            </a:fld>
            <a:endParaRPr lang="el-GR" sz="1000" b="1" i="0" u="none" strike="noStrike" baseline="0">
              <a:solidFill>
                <a:srgbClr val="000000"/>
              </a:solidFill>
              <a:latin typeface="Arial"/>
              <a:cs typeface="Arial"/>
            </a:endParaRPr>
          </a:p>
        </xdr:txBody>
      </xdr:sp>
      <xdr:sp macro="" textlink="$A$395">
        <xdr:nvSpPr>
          <xdr:cNvPr id="9" name="Text Box 9">
            <a:extLst>
              <a:ext uri="{FF2B5EF4-FFF2-40B4-BE49-F238E27FC236}">
                <a16:creationId xmlns:a16="http://schemas.microsoft.com/office/drawing/2014/main" id="{00000000-0008-0000-0500-000009000000}"/>
              </a:ext>
            </a:extLst>
          </xdr:cNvPr>
          <xdr:cNvSpPr txBox="1">
            <a:spLocks noChangeArrowheads="1" noTextEdit="1"/>
          </xdr:cNvSpPr>
        </xdr:nvSpPr>
        <xdr:spPr bwMode="auto">
          <a:xfrm>
            <a:off x="7452880" y="19650076"/>
            <a:ext cx="1082386" cy="315453"/>
          </a:xfrm>
          <a:prstGeom prst="rect">
            <a:avLst/>
          </a:prstGeom>
          <a:noFill/>
          <a:ln w="9525">
            <a:noFill/>
            <a:miter lim="800000"/>
            <a:headEnd/>
            <a:tailEnd/>
          </a:ln>
        </xdr:spPr>
        <xdr:txBody>
          <a:bodyPr vertOverflow="clip" wrap="square" lIns="27432" tIns="22860" rIns="0" bIns="0" anchor="t" upright="1"/>
          <a:lstStyle/>
          <a:p>
            <a:pPr algn="r" rtl="0">
              <a:defRPr sz="1000"/>
            </a:pPr>
            <a:fld id="{97BF0309-416E-405E-B585-4983CCA02D3E}" type="TxLink">
              <a:rPr lang="en-US" sz="1000" b="1" i="0" u="none" strike="noStrike" baseline="0">
                <a:solidFill>
                  <a:srgbClr val="000000"/>
                </a:solidFill>
                <a:latin typeface="Arialri"/>
                <a:cs typeface="Arial"/>
              </a:rPr>
              <a:pPr algn="r" rtl="0">
                <a:defRPr sz="1000"/>
              </a:pPr>
              <a:t>VOUT = 3.3V</a:t>
            </a:fld>
            <a:endParaRPr lang="el-GR" sz="1000" b="1" i="0" u="none" strike="noStrike" baseline="0">
              <a:solidFill>
                <a:srgbClr val="000000"/>
              </a:solidFill>
              <a:latin typeface="Arial"/>
              <a:cs typeface="Arial"/>
            </a:endParaRPr>
          </a:p>
        </xdr:txBody>
      </xdr:sp>
    </xdr:grpSp>
    <xdr:clientData/>
  </xdr:twoCellAnchor>
  <xdr:twoCellAnchor>
    <xdr:from>
      <xdr:col>15</xdr:col>
      <xdr:colOff>209550</xdr:colOff>
      <xdr:row>18</xdr:row>
      <xdr:rowOff>76201</xdr:rowOff>
    </xdr:from>
    <xdr:to>
      <xdr:col>17</xdr:col>
      <xdr:colOff>9525</xdr:colOff>
      <xdr:row>21</xdr:row>
      <xdr:rowOff>19051</xdr:rowOff>
    </xdr:to>
    <xdr:sp macro="" textlink="$A$411">
      <xdr:nvSpPr>
        <xdr:cNvPr id="10" name="Text Box 4">
          <a:extLst>
            <a:ext uri="{FF2B5EF4-FFF2-40B4-BE49-F238E27FC236}">
              <a16:creationId xmlns:a16="http://schemas.microsoft.com/office/drawing/2014/main" id="{00000000-0008-0000-0500-00000A000000}"/>
            </a:ext>
          </a:extLst>
        </xdr:cNvPr>
        <xdr:cNvSpPr txBox="1">
          <a:spLocks noChangeArrowheads="1" noTextEdit="1"/>
        </xdr:cNvSpPr>
      </xdr:nvSpPr>
      <xdr:spPr bwMode="auto">
        <a:xfrm>
          <a:off x="15259050" y="3219451"/>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DCFBE156-977E-4C45-9B24-0A2E6E91FFAB}" type="TxLink">
            <a:rPr lang="en-US" sz="1000" b="1" i="0" u="none" strike="noStrike" baseline="0">
              <a:solidFill>
                <a:srgbClr val="000000"/>
              </a:solidFill>
              <a:latin typeface="Arialri"/>
              <a:cs typeface="Arial"/>
            </a:rPr>
            <a:pPr algn="r" rtl="0">
              <a:defRPr sz="1000"/>
            </a:pPr>
            <a:t>gm = 1.2mS</a:t>
          </a:fld>
          <a:endParaRPr lang="el-GR" sz="1000" b="1" i="0" u="none" strike="noStrike" baseline="0">
            <a:solidFill>
              <a:srgbClr val="000000"/>
            </a:solidFill>
            <a:latin typeface="Arial"/>
            <a:cs typeface="Arial"/>
          </a:endParaRPr>
        </a:p>
      </xdr:txBody>
    </xdr:sp>
    <xdr:clientData/>
  </xdr:twoCellAnchor>
  <xdr:twoCellAnchor>
    <xdr:from>
      <xdr:col>13</xdr:col>
      <xdr:colOff>266700</xdr:colOff>
      <xdr:row>20</xdr:row>
      <xdr:rowOff>0</xdr:rowOff>
    </xdr:from>
    <xdr:to>
      <xdr:col>15</xdr:col>
      <xdr:colOff>38100</xdr:colOff>
      <xdr:row>22</xdr:row>
      <xdr:rowOff>104775</xdr:rowOff>
    </xdr:to>
    <xdr:sp macro="" textlink="$A$412">
      <xdr:nvSpPr>
        <xdr:cNvPr id="11" name="Text Box 4">
          <a:extLst>
            <a:ext uri="{FF2B5EF4-FFF2-40B4-BE49-F238E27FC236}">
              <a16:creationId xmlns:a16="http://schemas.microsoft.com/office/drawing/2014/main" id="{00000000-0008-0000-0500-00000B000000}"/>
            </a:ext>
          </a:extLst>
        </xdr:cNvPr>
        <xdr:cNvSpPr txBox="1">
          <a:spLocks noChangeArrowheads="1" noTextEdit="1"/>
        </xdr:cNvSpPr>
      </xdr:nvSpPr>
      <xdr:spPr bwMode="auto">
        <a:xfrm>
          <a:off x="14125575" y="3467100"/>
          <a:ext cx="962025" cy="428625"/>
        </a:xfrm>
        <a:prstGeom prst="rect">
          <a:avLst/>
        </a:prstGeom>
        <a:noFill/>
        <a:ln w="9525">
          <a:noFill/>
          <a:miter lim="800000"/>
          <a:headEnd/>
          <a:tailEnd/>
        </a:ln>
      </xdr:spPr>
      <xdr:txBody>
        <a:bodyPr vertOverflow="clip" wrap="square" lIns="27432" tIns="22860" rIns="0" bIns="0" anchor="t" upright="1"/>
        <a:lstStyle/>
        <a:p>
          <a:pPr algn="r" rtl="0">
            <a:defRPr sz="1000"/>
          </a:pPr>
          <a:fld id="{4772262A-5BC4-4AF8-A8E2-DF3959B443C1}" type="TxLink">
            <a:rPr lang="en-US" sz="1000" b="1" i="0" u="none" strike="noStrike" baseline="0">
              <a:solidFill>
                <a:srgbClr val="000000"/>
              </a:solidFill>
              <a:latin typeface="Arialri"/>
              <a:cs typeface="Arial"/>
            </a:rPr>
            <a:pPr algn="r" rtl="0">
              <a:defRPr sz="1000"/>
            </a:pPr>
            <a:t>RoEA = 64MΩ</a:t>
          </a:fld>
          <a:endParaRPr lang="el-GR" sz="1000" b="1" i="0" u="none" strike="noStrike" baseline="0">
            <a:solidFill>
              <a:srgbClr val="000000"/>
            </a:solidFill>
            <a:latin typeface="Arial"/>
            <a:cs typeface="Arial"/>
          </a:endParaRPr>
        </a:p>
      </xdr:txBody>
    </xdr:sp>
    <xdr:clientData/>
  </xdr:twoCellAnchor>
  <xdr:twoCellAnchor>
    <xdr:from>
      <xdr:col>13</xdr:col>
      <xdr:colOff>238125</xdr:colOff>
      <xdr:row>18</xdr:row>
      <xdr:rowOff>95250</xdr:rowOff>
    </xdr:from>
    <xdr:to>
      <xdr:col>15</xdr:col>
      <xdr:colOff>9525</xdr:colOff>
      <xdr:row>20</xdr:row>
      <xdr:rowOff>38100</xdr:rowOff>
    </xdr:to>
    <xdr:sp macro="" textlink="$A$413">
      <xdr:nvSpPr>
        <xdr:cNvPr id="12" name="Text Box 4">
          <a:extLst>
            <a:ext uri="{FF2B5EF4-FFF2-40B4-BE49-F238E27FC236}">
              <a16:creationId xmlns:a16="http://schemas.microsoft.com/office/drawing/2014/main" id="{00000000-0008-0000-0500-00000C000000}"/>
            </a:ext>
          </a:extLst>
        </xdr:cNvPr>
        <xdr:cNvSpPr txBox="1">
          <a:spLocks noChangeArrowheads="1" noTextEdit="1"/>
        </xdr:cNvSpPr>
      </xdr:nvSpPr>
      <xdr:spPr bwMode="auto">
        <a:xfrm>
          <a:off x="14097000" y="3238500"/>
          <a:ext cx="962025" cy="266700"/>
        </a:xfrm>
        <a:prstGeom prst="rect">
          <a:avLst/>
        </a:prstGeom>
        <a:noFill/>
        <a:ln w="9525">
          <a:noFill/>
          <a:miter lim="800000"/>
          <a:headEnd/>
          <a:tailEnd/>
        </a:ln>
      </xdr:spPr>
      <xdr:txBody>
        <a:bodyPr vertOverflow="clip" wrap="square" lIns="27432" tIns="22860" rIns="0" bIns="0" anchor="t" upright="1"/>
        <a:lstStyle/>
        <a:p>
          <a:pPr algn="r" rtl="0">
            <a:defRPr sz="1000"/>
          </a:pPr>
          <a:fld id="{6540ECFD-AAA0-44C8-8BEA-3C65071BF767}" type="TxLink">
            <a:rPr lang="en-US" sz="1000" b="1" i="0" u="none" strike="noStrike" baseline="0">
              <a:solidFill>
                <a:srgbClr val="000000"/>
              </a:solidFill>
              <a:latin typeface="Arialri"/>
              <a:cs typeface="Arial"/>
            </a:rPr>
            <a:pPr algn="r" rtl="0">
              <a:defRPr sz="1000"/>
            </a:pPr>
            <a:t>GBW = 6MHz</a:t>
          </a:fld>
          <a:endParaRPr lang="el-GR" sz="1000" b="1" i="0" u="none" strike="noStrike" baseline="0">
            <a:solidFill>
              <a:srgbClr val="000000"/>
            </a:solidFill>
            <a:latin typeface="Arial"/>
            <a:cs typeface="Arial"/>
          </a:endParaRPr>
        </a:p>
      </xdr:txBody>
    </xdr:sp>
    <xdr:clientData/>
  </xdr:twoCellAnchor>
  <xdr:twoCellAnchor editAs="oneCell">
    <xdr:from>
      <xdr:col>10</xdr:col>
      <xdr:colOff>476250</xdr:colOff>
      <xdr:row>0</xdr:row>
      <xdr:rowOff>104775</xdr:rowOff>
    </xdr:from>
    <xdr:to>
      <xdr:col>15</xdr:col>
      <xdr:colOff>796539</xdr:colOff>
      <xdr:row>3</xdr:row>
      <xdr:rowOff>3049</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830050" y="104775"/>
          <a:ext cx="4152900" cy="57727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9</xdr:col>
          <xdr:colOff>368300</xdr:colOff>
          <xdr:row>18</xdr:row>
          <xdr:rowOff>63500</xdr:rowOff>
        </xdr:from>
        <xdr:to>
          <xdr:col>11</xdr:col>
          <xdr:colOff>0</xdr:colOff>
          <xdr:row>19</xdr:row>
          <xdr:rowOff>139700</xdr:rowOff>
        </xdr:to>
        <xdr:sp macro="" textlink="">
          <xdr:nvSpPr>
            <xdr:cNvPr id="702465" name="Drop Down 1" hidden="1">
              <a:extLst>
                <a:ext uri="{63B3BB69-23CF-44E3-9099-C40C66FF867C}">
                  <a14:compatExt spid="_x0000_s702465"/>
                </a:ext>
                <a:ext uri="{FF2B5EF4-FFF2-40B4-BE49-F238E27FC236}">
                  <a16:creationId xmlns:a16="http://schemas.microsoft.com/office/drawing/2014/main" id="{00000000-0008-0000-0500-000001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368300</xdr:colOff>
          <xdr:row>15</xdr:row>
          <xdr:rowOff>139700</xdr:rowOff>
        </xdr:from>
        <xdr:to>
          <xdr:col>20</xdr:col>
          <xdr:colOff>31750</xdr:colOff>
          <xdr:row>17</xdr:row>
          <xdr:rowOff>0</xdr:rowOff>
        </xdr:to>
        <xdr:sp macro="" textlink="">
          <xdr:nvSpPr>
            <xdr:cNvPr id="702468" name="Drop Down 4" hidden="1">
              <a:extLst>
                <a:ext uri="{63B3BB69-23CF-44E3-9099-C40C66FF867C}">
                  <a14:compatExt spid="_x0000_s702468"/>
                </a:ext>
                <a:ext uri="{FF2B5EF4-FFF2-40B4-BE49-F238E27FC236}">
                  <a16:creationId xmlns:a16="http://schemas.microsoft.com/office/drawing/2014/main" id="{00000000-0008-0000-0500-000004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412750</xdr:colOff>
          <xdr:row>31</xdr:row>
          <xdr:rowOff>38100</xdr:rowOff>
        </xdr:from>
        <xdr:to>
          <xdr:col>25</xdr:col>
          <xdr:colOff>69850</xdr:colOff>
          <xdr:row>32</xdr:row>
          <xdr:rowOff>177800</xdr:rowOff>
        </xdr:to>
        <xdr:sp macro="" textlink="">
          <xdr:nvSpPr>
            <xdr:cNvPr id="702470" name="Drop Down 6" hidden="1">
              <a:extLst>
                <a:ext uri="{63B3BB69-23CF-44E3-9099-C40C66FF867C}">
                  <a14:compatExt spid="_x0000_s702470"/>
                </a:ext>
                <a:ext uri="{FF2B5EF4-FFF2-40B4-BE49-F238E27FC236}">
                  <a16:creationId xmlns:a16="http://schemas.microsoft.com/office/drawing/2014/main" id="{00000000-0008-0000-0500-000006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51</xdr:row>
          <xdr:rowOff>38100</xdr:rowOff>
        </xdr:from>
        <xdr:to>
          <xdr:col>10</xdr:col>
          <xdr:colOff>527050</xdr:colOff>
          <xdr:row>52</xdr:row>
          <xdr:rowOff>114300</xdr:rowOff>
        </xdr:to>
        <xdr:sp macro="" textlink="">
          <xdr:nvSpPr>
            <xdr:cNvPr id="702471" name="Drop Down 7" hidden="1">
              <a:extLst>
                <a:ext uri="{63B3BB69-23CF-44E3-9099-C40C66FF867C}">
                  <a14:compatExt spid="_x0000_s702471"/>
                </a:ext>
                <a:ext uri="{FF2B5EF4-FFF2-40B4-BE49-F238E27FC236}">
                  <a16:creationId xmlns:a16="http://schemas.microsoft.com/office/drawing/2014/main" id="{00000000-0008-0000-0500-000007B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1</xdr:col>
      <xdr:colOff>1859410</xdr:colOff>
      <xdr:row>7</xdr:row>
      <xdr:rowOff>1222954</xdr:rowOff>
    </xdr:from>
    <xdr:to>
      <xdr:col>1</xdr:col>
      <xdr:colOff>2204210</xdr:colOff>
      <xdr:row>7</xdr:row>
      <xdr:rowOff>1483106</xdr:rowOff>
    </xdr:to>
    <xdr:sp macro="" textlink="">
      <xdr:nvSpPr>
        <xdr:cNvPr id="21" name="Text Box 225">
          <a:extLst>
            <a:ext uri="{FF2B5EF4-FFF2-40B4-BE49-F238E27FC236}">
              <a16:creationId xmlns:a16="http://schemas.microsoft.com/office/drawing/2014/main" id="{00000000-0008-0000-0600-000015000000}"/>
            </a:ext>
          </a:extLst>
        </xdr:cNvPr>
        <xdr:cNvSpPr txBox="1">
          <a:spLocks noChangeArrowheads="1"/>
        </xdr:cNvSpPr>
      </xdr:nvSpPr>
      <xdr:spPr bwMode="auto">
        <a:xfrm>
          <a:off x="2563171" y="6492006"/>
          <a:ext cx="344800" cy="25824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a:t>
          </a:r>
        </a:p>
      </xdr:txBody>
    </xdr:sp>
    <xdr:clientData/>
  </xdr:twoCellAnchor>
  <xdr:twoCellAnchor editAs="absolute">
    <xdr:from>
      <xdr:col>1</xdr:col>
      <xdr:colOff>1375139</xdr:colOff>
      <xdr:row>7</xdr:row>
      <xdr:rowOff>913217</xdr:rowOff>
    </xdr:from>
    <xdr:to>
      <xdr:col>1</xdr:col>
      <xdr:colOff>1780062</xdr:colOff>
      <xdr:row>7</xdr:row>
      <xdr:rowOff>1110284</xdr:rowOff>
    </xdr:to>
    <xdr:sp macro="" textlink="">
      <xdr:nvSpPr>
        <xdr:cNvPr id="22" name="Text Box 255">
          <a:extLst>
            <a:ext uri="{FF2B5EF4-FFF2-40B4-BE49-F238E27FC236}">
              <a16:creationId xmlns:a16="http://schemas.microsoft.com/office/drawing/2014/main" id="{00000000-0008-0000-0600-000016000000}"/>
            </a:ext>
          </a:extLst>
        </xdr:cNvPr>
        <xdr:cNvSpPr txBox="1">
          <a:spLocks noChangeArrowheads="1"/>
        </xdr:cNvSpPr>
      </xdr:nvSpPr>
      <xdr:spPr bwMode="auto">
        <a:xfrm>
          <a:off x="2084615" y="618036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1364525</xdr:colOff>
      <xdr:row>7</xdr:row>
      <xdr:rowOff>2736721</xdr:rowOff>
    </xdr:from>
    <xdr:to>
      <xdr:col>1</xdr:col>
      <xdr:colOff>1748519</xdr:colOff>
      <xdr:row>7</xdr:row>
      <xdr:rowOff>2933788</xdr:rowOff>
    </xdr:to>
    <xdr:sp macro="" textlink="">
      <xdr:nvSpPr>
        <xdr:cNvPr id="23" name="Text Box 255">
          <a:extLst>
            <a:ext uri="{FF2B5EF4-FFF2-40B4-BE49-F238E27FC236}">
              <a16:creationId xmlns:a16="http://schemas.microsoft.com/office/drawing/2014/main" id="{00000000-0008-0000-0600-000017000000}"/>
            </a:ext>
          </a:extLst>
        </xdr:cNvPr>
        <xdr:cNvSpPr txBox="1">
          <a:spLocks noChangeArrowheads="1"/>
        </xdr:cNvSpPr>
      </xdr:nvSpPr>
      <xdr:spPr bwMode="auto">
        <a:xfrm>
          <a:off x="2068286" y="8000058"/>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1108229</xdr:colOff>
      <xdr:row>7</xdr:row>
      <xdr:rowOff>219733</xdr:rowOff>
    </xdr:from>
    <xdr:to>
      <xdr:col>1</xdr:col>
      <xdr:colOff>1513152</xdr:colOff>
      <xdr:row>7</xdr:row>
      <xdr:rowOff>414895</xdr:rowOff>
    </xdr:to>
    <xdr:sp macro="" textlink="">
      <xdr:nvSpPr>
        <xdr:cNvPr id="31" name="Text Box 255">
          <a:extLst>
            <a:ext uri="{FF2B5EF4-FFF2-40B4-BE49-F238E27FC236}">
              <a16:creationId xmlns:a16="http://schemas.microsoft.com/office/drawing/2014/main" id="{00000000-0008-0000-0600-00001F000000}"/>
            </a:ext>
          </a:extLst>
        </xdr:cNvPr>
        <xdr:cNvSpPr txBox="1">
          <a:spLocks noChangeArrowheads="1"/>
        </xdr:cNvSpPr>
      </xdr:nvSpPr>
      <xdr:spPr bwMode="auto">
        <a:xfrm>
          <a:off x="1813519" y="547697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1093868</xdr:colOff>
      <xdr:row>7</xdr:row>
      <xdr:rowOff>606156</xdr:rowOff>
    </xdr:from>
    <xdr:to>
      <xdr:col>1</xdr:col>
      <xdr:colOff>1485456</xdr:colOff>
      <xdr:row>7</xdr:row>
      <xdr:rowOff>803223</xdr:rowOff>
    </xdr:to>
    <xdr:sp macro="" textlink="">
      <xdr:nvSpPr>
        <xdr:cNvPr id="32" name="Text Box 255">
          <a:extLst>
            <a:ext uri="{FF2B5EF4-FFF2-40B4-BE49-F238E27FC236}">
              <a16:creationId xmlns:a16="http://schemas.microsoft.com/office/drawing/2014/main" id="{00000000-0008-0000-0600-000020000000}"/>
            </a:ext>
          </a:extLst>
        </xdr:cNvPr>
        <xdr:cNvSpPr txBox="1">
          <a:spLocks noChangeArrowheads="1"/>
        </xdr:cNvSpPr>
      </xdr:nvSpPr>
      <xdr:spPr bwMode="auto">
        <a:xfrm>
          <a:off x="1791538" y="586530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453056</xdr:colOff>
      <xdr:row>7</xdr:row>
      <xdr:rowOff>223689</xdr:rowOff>
    </xdr:from>
    <xdr:to>
      <xdr:col>1</xdr:col>
      <xdr:colOff>842739</xdr:colOff>
      <xdr:row>7</xdr:row>
      <xdr:rowOff>420756</xdr:rowOff>
    </xdr:to>
    <xdr:sp macro="" textlink="">
      <xdr:nvSpPr>
        <xdr:cNvPr id="33" name="Text Box 255">
          <a:extLst>
            <a:ext uri="{FF2B5EF4-FFF2-40B4-BE49-F238E27FC236}">
              <a16:creationId xmlns:a16="http://schemas.microsoft.com/office/drawing/2014/main" id="{00000000-0008-0000-0600-000021000000}"/>
            </a:ext>
          </a:extLst>
        </xdr:cNvPr>
        <xdr:cNvSpPr txBox="1">
          <a:spLocks noChangeArrowheads="1"/>
        </xdr:cNvSpPr>
      </xdr:nvSpPr>
      <xdr:spPr bwMode="auto">
        <a:xfrm>
          <a:off x="1152631" y="5482840"/>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450752</xdr:colOff>
      <xdr:row>7</xdr:row>
      <xdr:rowOff>602388</xdr:rowOff>
    </xdr:from>
    <xdr:to>
      <xdr:col>1</xdr:col>
      <xdr:colOff>842340</xdr:colOff>
      <xdr:row>7</xdr:row>
      <xdr:rowOff>799455</xdr:rowOff>
    </xdr:to>
    <xdr:sp macro="" textlink="">
      <xdr:nvSpPr>
        <xdr:cNvPr id="34" name="Text Box 255">
          <a:extLst>
            <a:ext uri="{FF2B5EF4-FFF2-40B4-BE49-F238E27FC236}">
              <a16:creationId xmlns:a16="http://schemas.microsoft.com/office/drawing/2014/main" id="{00000000-0008-0000-0600-000022000000}"/>
            </a:ext>
          </a:extLst>
        </xdr:cNvPr>
        <xdr:cNvSpPr txBox="1">
          <a:spLocks noChangeArrowheads="1"/>
        </xdr:cNvSpPr>
      </xdr:nvSpPr>
      <xdr:spPr bwMode="auto">
        <a:xfrm>
          <a:off x="1150327" y="586153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428477</xdr:colOff>
      <xdr:row>7</xdr:row>
      <xdr:rowOff>1089775</xdr:rowOff>
    </xdr:from>
    <xdr:to>
      <xdr:col>1</xdr:col>
      <xdr:colOff>833400</xdr:colOff>
      <xdr:row>7</xdr:row>
      <xdr:rowOff>1286842</xdr:rowOff>
    </xdr:to>
    <xdr:sp macro="" textlink="">
      <xdr:nvSpPr>
        <xdr:cNvPr id="35" name="Text Box 255">
          <a:extLst>
            <a:ext uri="{FF2B5EF4-FFF2-40B4-BE49-F238E27FC236}">
              <a16:creationId xmlns:a16="http://schemas.microsoft.com/office/drawing/2014/main" id="{00000000-0008-0000-0600-000023000000}"/>
            </a:ext>
          </a:extLst>
        </xdr:cNvPr>
        <xdr:cNvSpPr txBox="1">
          <a:spLocks noChangeArrowheads="1"/>
        </xdr:cNvSpPr>
      </xdr:nvSpPr>
      <xdr:spPr bwMode="auto">
        <a:xfrm>
          <a:off x="1135672" y="63451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719942</xdr:colOff>
      <xdr:row>7</xdr:row>
      <xdr:rowOff>1089775</xdr:rowOff>
    </xdr:from>
    <xdr:to>
      <xdr:col>1</xdr:col>
      <xdr:colOff>1111530</xdr:colOff>
      <xdr:row>7</xdr:row>
      <xdr:rowOff>1286842</xdr:rowOff>
    </xdr:to>
    <xdr:sp macro="" textlink="">
      <xdr:nvSpPr>
        <xdr:cNvPr id="36" name="Text Box 255">
          <a:extLst>
            <a:ext uri="{FF2B5EF4-FFF2-40B4-BE49-F238E27FC236}">
              <a16:creationId xmlns:a16="http://schemas.microsoft.com/office/drawing/2014/main" id="{00000000-0008-0000-0600-000024000000}"/>
            </a:ext>
          </a:extLst>
        </xdr:cNvPr>
        <xdr:cNvSpPr txBox="1">
          <a:spLocks noChangeArrowheads="1"/>
        </xdr:cNvSpPr>
      </xdr:nvSpPr>
      <xdr:spPr bwMode="auto">
        <a:xfrm>
          <a:off x="1421422" y="63451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599195</xdr:colOff>
      <xdr:row>7</xdr:row>
      <xdr:rowOff>1551370</xdr:rowOff>
    </xdr:from>
    <xdr:to>
      <xdr:col>1</xdr:col>
      <xdr:colOff>990783</xdr:colOff>
      <xdr:row>7</xdr:row>
      <xdr:rowOff>1748437</xdr:rowOff>
    </xdr:to>
    <xdr:sp macro="" textlink="">
      <xdr:nvSpPr>
        <xdr:cNvPr id="37" name="Text Box 255">
          <a:extLst>
            <a:ext uri="{FF2B5EF4-FFF2-40B4-BE49-F238E27FC236}">
              <a16:creationId xmlns:a16="http://schemas.microsoft.com/office/drawing/2014/main" id="{00000000-0008-0000-0600-000025000000}"/>
            </a:ext>
          </a:extLst>
        </xdr:cNvPr>
        <xdr:cNvSpPr txBox="1">
          <a:spLocks noChangeArrowheads="1"/>
        </xdr:cNvSpPr>
      </xdr:nvSpPr>
      <xdr:spPr bwMode="auto">
        <a:xfrm>
          <a:off x="1296865" y="680671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2518995</xdr:colOff>
      <xdr:row>7</xdr:row>
      <xdr:rowOff>3158017</xdr:rowOff>
    </xdr:from>
    <xdr:to>
      <xdr:col>1</xdr:col>
      <xdr:colOff>2922013</xdr:colOff>
      <xdr:row>7</xdr:row>
      <xdr:rowOff>3355084</xdr:rowOff>
    </xdr:to>
    <xdr:sp macro="" textlink="">
      <xdr:nvSpPr>
        <xdr:cNvPr id="38" name="Text Box 255">
          <a:extLst>
            <a:ext uri="{FF2B5EF4-FFF2-40B4-BE49-F238E27FC236}">
              <a16:creationId xmlns:a16="http://schemas.microsoft.com/office/drawing/2014/main" id="{00000000-0008-0000-0600-000026000000}"/>
            </a:ext>
          </a:extLst>
        </xdr:cNvPr>
        <xdr:cNvSpPr txBox="1">
          <a:spLocks noChangeArrowheads="1"/>
        </xdr:cNvSpPr>
      </xdr:nvSpPr>
      <xdr:spPr bwMode="auto">
        <a:xfrm>
          <a:off x="3222380" y="841716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1854004</xdr:colOff>
      <xdr:row>7</xdr:row>
      <xdr:rowOff>2891905</xdr:rowOff>
    </xdr:from>
    <xdr:to>
      <xdr:col>1</xdr:col>
      <xdr:colOff>2243687</xdr:colOff>
      <xdr:row>7</xdr:row>
      <xdr:rowOff>3088972</xdr:rowOff>
    </xdr:to>
    <xdr:sp macro="" textlink="">
      <xdr:nvSpPr>
        <xdr:cNvPr id="39" name="Text Box 255">
          <a:extLst>
            <a:ext uri="{FF2B5EF4-FFF2-40B4-BE49-F238E27FC236}">
              <a16:creationId xmlns:a16="http://schemas.microsoft.com/office/drawing/2014/main" id="{00000000-0008-0000-0600-000027000000}"/>
            </a:ext>
          </a:extLst>
        </xdr:cNvPr>
        <xdr:cNvSpPr txBox="1">
          <a:spLocks noChangeArrowheads="1"/>
        </xdr:cNvSpPr>
      </xdr:nvSpPr>
      <xdr:spPr bwMode="auto">
        <a:xfrm>
          <a:off x="2549769" y="815486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1570956</xdr:colOff>
      <xdr:row>7</xdr:row>
      <xdr:rowOff>569269</xdr:rowOff>
    </xdr:from>
    <xdr:to>
      <xdr:col>1</xdr:col>
      <xdr:colOff>1975879</xdr:colOff>
      <xdr:row>7</xdr:row>
      <xdr:rowOff>766336</xdr:rowOff>
    </xdr:to>
    <xdr:sp macro="" textlink="">
      <xdr:nvSpPr>
        <xdr:cNvPr id="43" name="Text Box 255">
          <a:extLst>
            <a:ext uri="{FF2B5EF4-FFF2-40B4-BE49-F238E27FC236}">
              <a16:creationId xmlns:a16="http://schemas.microsoft.com/office/drawing/2014/main" id="{00000000-0008-0000-0600-00002B000000}"/>
            </a:ext>
          </a:extLst>
        </xdr:cNvPr>
        <xdr:cNvSpPr txBox="1">
          <a:spLocks noChangeArrowheads="1"/>
        </xdr:cNvSpPr>
      </xdr:nvSpPr>
      <xdr:spPr bwMode="auto">
        <a:xfrm>
          <a:off x="2282337" y="583641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1566057</xdr:colOff>
      <xdr:row>7</xdr:row>
      <xdr:rowOff>235747</xdr:rowOff>
    </xdr:from>
    <xdr:to>
      <xdr:col>1</xdr:col>
      <xdr:colOff>1970980</xdr:colOff>
      <xdr:row>7</xdr:row>
      <xdr:rowOff>446149</xdr:rowOff>
    </xdr:to>
    <xdr:sp macro="" textlink="">
      <xdr:nvSpPr>
        <xdr:cNvPr id="44" name="Text Box 255">
          <a:extLst>
            <a:ext uri="{FF2B5EF4-FFF2-40B4-BE49-F238E27FC236}">
              <a16:creationId xmlns:a16="http://schemas.microsoft.com/office/drawing/2014/main" id="{00000000-0008-0000-0600-00002C000000}"/>
            </a:ext>
          </a:extLst>
        </xdr:cNvPr>
        <xdr:cNvSpPr txBox="1">
          <a:spLocks noChangeArrowheads="1"/>
        </xdr:cNvSpPr>
      </xdr:nvSpPr>
      <xdr:spPr bwMode="auto">
        <a:xfrm>
          <a:off x="2271347" y="550251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2179614</xdr:colOff>
      <xdr:row>7</xdr:row>
      <xdr:rowOff>567320</xdr:rowOff>
    </xdr:from>
    <xdr:to>
      <xdr:col>1</xdr:col>
      <xdr:colOff>2584537</xdr:colOff>
      <xdr:row>7</xdr:row>
      <xdr:rowOff>764387</xdr:rowOff>
    </xdr:to>
    <xdr:sp macro="" textlink="">
      <xdr:nvSpPr>
        <xdr:cNvPr id="45" name="Text Box 255">
          <a:extLst>
            <a:ext uri="{FF2B5EF4-FFF2-40B4-BE49-F238E27FC236}">
              <a16:creationId xmlns:a16="http://schemas.microsoft.com/office/drawing/2014/main" id="{00000000-0008-0000-0600-00002D000000}"/>
            </a:ext>
          </a:extLst>
        </xdr:cNvPr>
        <xdr:cNvSpPr txBox="1">
          <a:spLocks noChangeArrowheads="1"/>
        </xdr:cNvSpPr>
      </xdr:nvSpPr>
      <xdr:spPr bwMode="auto">
        <a:xfrm>
          <a:off x="2890995" y="583065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2176097</xdr:colOff>
      <xdr:row>7</xdr:row>
      <xdr:rowOff>310062</xdr:rowOff>
    </xdr:from>
    <xdr:to>
      <xdr:col>1</xdr:col>
      <xdr:colOff>2579115</xdr:colOff>
      <xdr:row>7</xdr:row>
      <xdr:rowOff>522369</xdr:rowOff>
    </xdr:to>
    <xdr:sp macro="" textlink="">
      <xdr:nvSpPr>
        <xdr:cNvPr id="46" name="Text Box 255">
          <a:extLst>
            <a:ext uri="{FF2B5EF4-FFF2-40B4-BE49-F238E27FC236}">
              <a16:creationId xmlns:a16="http://schemas.microsoft.com/office/drawing/2014/main" id="{00000000-0008-0000-0600-00002E000000}"/>
            </a:ext>
          </a:extLst>
        </xdr:cNvPr>
        <xdr:cNvSpPr txBox="1">
          <a:spLocks noChangeArrowheads="1"/>
        </xdr:cNvSpPr>
      </xdr:nvSpPr>
      <xdr:spPr bwMode="auto">
        <a:xfrm>
          <a:off x="2883668" y="558101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1129995</xdr:colOff>
      <xdr:row>11</xdr:row>
      <xdr:rowOff>190468</xdr:rowOff>
    </xdr:from>
    <xdr:to>
      <xdr:col>1</xdr:col>
      <xdr:colOff>1519678</xdr:colOff>
      <xdr:row>11</xdr:row>
      <xdr:rowOff>387535</xdr:rowOff>
    </xdr:to>
    <xdr:sp macro="" textlink="">
      <xdr:nvSpPr>
        <xdr:cNvPr id="40" name="Text Box 255">
          <a:extLst>
            <a:ext uri="{FF2B5EF4-FFF2-40B4-BE49-F238E27FC236}">
              <a16:creationId xmlns:a16="http://schemas.microsoft.com/office/drawing/2014/main" id="{00000000-0008-0000-0600-000028000000}"/>
            </a:ext>
          </a:extLst>
        </xdr:cNvPr>
        <xdr:cNvSpPr txBox="1">
          <a:spLocks noChangeArrowheads="1"/>
        </xdr:cNvSpPr>
      </xdr:nvSpPr>
      <xdr:spPr bwMode="auto">
        <a:xfrm>
          <a:off x="1829946" y="136899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1100394</xdr:colOff>
      <xdr:row>11</xdr:row>
      <xdr:rowOff>574986</xdr:rowOff>
    </xdr:from>
    <xdr:to>
      <xdr:col>1</xdr:col>
      <xdr:colOff>1493887</xdr:colOff>
      <xdr:row>11</xdr:row>
      <xdr:rowOff>787293</xdr:rowOff>
    </xdr:to>
    <xdr:sp macro="" textlink="">
      <xdr:nvSpPr>
        <xdr:cNvPr id="41" name="Text Box 255">
          <a:extLst>
            <a:ext uri="{FF2B5EF4-FFF2-40B4-BE49-F238E27FC236}">
              <a16:creationId xmlns:a16="http://schemas.microsoft.com/office/drawing/2014/main" id="{00000000-0008-0000-0600-000029000000}"/>
            </a:ext>
          </a:extLst>
        </xdr:cNvPr>
        <xdr:cNvSpPr txBox="1">
          <a:spLocks noChangeArrowheads="1"/>
        </xdr:cNvSpPr>
      </xdr:nvSpPr>
      <xdr:spPr bwMode="auto">
        <a:xfrm>
          <a:off x="1807965" y="1407826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461487</xdr:colOff>
      <xdr:row>11</xdr:row>
      <xdr:rowOff>194424</xdr:rowOff>
    </xdr:from>
    <xdr:to>
      <xdr:col>1</xdr:col>
      <xdr:colOff>864505</xdr:colOff>
      <xdr:row>11</xdr:row>
      <xdr:rowOff>404826</xdr:rowOff>
    </xdr:to>
    <xdr:sp macro="" textlink="">
      <xdr:nvSpPr>
        <xdr:cNvPr id="42" name="Text Box 255">
          <a:extLst>
            <a:ext uri="{FF2B5EF4-FFF2-40B4-BE49-F238E27FC236}">
              <a16:creationId xmlns:a16="http://schemas.microsoft.com/office/drawing/2014/main" id="{00000000-0008-0000-0600-00002A000000}"/>
            </a:ext>
          </a:extLst>
        </xdr:cNvPr>
        <xdr:cNvSpPr txBox="1">
          <a:spLocks noChangeArrowheads="1"/>
        </xdr:cNvSpPr>
      </xdr:nvSpPr>
      <xdr:spPr bwMode="auto">
        <a:xfrm>
          <a:off x="1169058" y="1369579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459183</xdr:colOff>
      <xdr:row>11</xdr:row>
      <xdr:rowOff>575028</xdr:rowOff>
    </xdr:from>
    <xdr:to>
      <xdr:col>1</xdr:col>
      <xdr:colOff>864106</xdr:colOff>
      <xdr:row>11</xdr:row>
      <xdr:rowOff>772095</xdr:rowOff>
    </xdr:to>
    <xdr:sp macro="" textlink="">
      <xdr:nvSpPr>
        <xdr:cNvPr id="47" name="Text Box 255">
          <a:extLst>
            <a:ext uri="{FF2B5EF4-FFF2-40B4-BE49-F238E27FC236}">
              <a16:creationId xmlns:a16="http://schemas.microsoft.com/office/drawing/2014/main" id="{00000000-0008-0000-0600-00002F000000}"/>
            </a:ext>
          </a:extLst>
        </xdr:cNvPr>
        <xdr:cNvSpPr txBox="1">
          <a:spLocks noChangeArrowheads="1"/>
        </xdr:cNvSpPr>
      </xdr:nvSpPr>
      <xdr:spPr bwMode="auto">
        <a:xfrm>
          <a:off x="1166754" y="1407449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448338</xdr:colOff>
      <xdr:row>11</xdr:row>
      <xdr:rowOff>1062415</xdr:rowOff>
    </xdr:from>
    <xdr:to>
      <xdr:col>1</xdr:col>
      <xdr:colOff>841831</xdr:colOff>
      <xdr:row>11</xdr:row>
      <xdr:rowOff>1259482</xdr:rowOff>
    </xdr:to>
    <xdr:sp macro="" textlink="">
      <xdr:nvSpPr>
        <xdr:cNvPr id="48" name="Text Box 255">
          <a:extLst>
            <a:ext uri="{FF2B5EF4-FFF2-40B4-BE49-F238E27FC236}">
              <a16:creationId xmlns:a16="http://schemas.microsoft.com/office/drawing/2014/main" id="{00000000-0008-0000-0600-000030000000}"/>
            </a:ext>
          </a:extLst>
        </xdr:cNvPr>
        <xdr:cNvSpPr txBox="1">
          <a:spLocks noChangeArrowheads="1"/>
        </xdr:cNvSpPr>
      </xdr:nvSpPr>
      <xdr:spPr bwMode="auto">
        <a:xfrm>
          <a:off x="1152099" y="1455807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728373</xdr:colOff>
      <xdr:row>11</xdr:row>
      <xdr:rowOff>1062415</xdr:rowOff>
    </xdr:from>
    <xdr:to>
      <xdr:col>1</xdr:col>
      <xdr:colOff>1133296</xdr:colOff>
      <xdr:row>11</xdr:row>
      <xdr:rowOff>1259482</xdr:rowOff>
    </xdr:to>
    <xdr:sp macro="" textlink="">
      <xdr:nvSpPr>
        <xdr:cNvPr id="49" name="Text Box 255">
          <a:extLst>
            <a:ext uri="{FF2B5EF4-FFF2-40B4-BE49-F238E27FC236}">
              <a16:creationId xmlns:a16="http://schemas.microsoft.com/office/drawing/2014/main" id="{00000000-0008-0000-0600-000031000000}"/>
            </a:ext>
          </a:extLst>
        </xdr:cNvPr>
        <xdr:cNvSpPr txBox="1">
          <a:spLocks noChangeArrowheads="1"/>
        </xdr:cNvSpPr>
      </xdr:nvSpPr>
      <xdr:spPr bwMode="auto">
        <a:xfrm>
          <a:off x="1437849" y="1455807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605721</xdr:colOff>
      <xdr:row>11</xdr:row>
      <xdr:rowOff>1520200</xdr:rowOff>
    </xdr:from>
    <xdr:to>
      <xdr:col>1</xdr:col>
      <xdr:colOff>999214</xdr:colOff>
      <xdr:row>11</xdr:row>
      <xdr:rowOff>1719172</xdr:rowOff>
    </xdr:to>
    <xdr:sp macro="" textlink="">
      <xdr:nvSpPr>
        <xdr:cNvPr id="50" name="Text Box 255">
          <a:extLst>
            <a:ext uri="{FF2B5EF4-FFF2-40B4-BE49-F238E27FC236}">
              <a16:creationId xmlns:a16="http://schemas.microsoft.com/office/drawing/2014/main" id="{00000000-0008-0000-0600-000032000000}"/>
            </a:ext>
          </a:extLst>
        </xdr:cNvPr>
        <xdr:cNvSpPr txBox="1">
          <a:spLocks noChangeArrowheads="1"/>
        </xdr:cNvSpPr>
      </xdr:nvSpPr>
      <xdr:spPr bwMode="auto">
        <a:xfrm>
          <a:off x="1313292" y="1501966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2538856</xdr:colOff>
      <xdr:row>11</xdr:row>
      <xdr:rowOff>3128752</xdr:rowOff>
    </xdr:from>
    <xdr:to>
      <xdr:col>1</xdr:col>
      <xdr:colOff>2930444</xdr:colOff>
      <xdr:row>11</xdr:row>
      <xdr:rowOff>3339154</xdr:rowOff>
    </xdr:to>
    <xdr:sp macro="" textlink="">
      <xdr:nvSpPr>
        <xdr:cNvPr id="51" name="Text Box 255">
          <a:extLst>
            <a:ext uri="{FF2B5EF4-FFF2-40B4-BE49-F238E27FC236}">
              <a16:creationId xmlns:a16="http://schemas.microsoft.com/office/drawing/2014/main" id="{00000000-0008-0000-0600-000033000000}"/>
            </a:ext>
          </a:extLst>
        </xdr:cNvPr>
        <xdr:cNvSpPr txBox="1">
          <a:spLocks noChangeArrowheads="1"/>
        </xdr:cNvSpPr>
      </xdr:nvSpPr>
      <xdr:spPr bwMode="auto">
        <a:xfrm>
          <a:off x="3238807" y="1663012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1862435</xdr:colOff>
      <xdr:row>11</xdr:row>
      <xdr:rowOff>2864545</xdr:rowOff>
    </xdr:from>
    <xdr:to>
      <xdr:col>1</xdr:col>
      <xdr:colOff>2252118</xdr:colOff>
      <xdr:row>11</xdr:row>
      <xdr:rowOff>3074947</xdr:rowOff>
    </xdr:to>
    <xdr:sp macro="" textlink="">
      <xdr:nvSpPr>
        <xdr:cNvPr id="52" name="Text Box 255">
          <a:extLst>
            <a:ext uri="{FF2B5EF4-FFF2-40B4-BE49-F238E27FC236}">
              <a16:creationId xmlns:a16="http://schemas.microsoft.com/office/drawing/2014/main" id="{00000000-0008-0000-0600-000034000000}"/>
            </a:ext>
          </a:extLst>
        </xdr:cNvPr>
        <xdr:cNvSpPr txBox="1">
          <a:spLocks noChangeArrowheads="1"/>
        </xdr:cNvSpPr>
      </xdr:nvSpPr>
      <xdr:spPr bwMode="auto">
        <a:xfrm>
          <a:off x="2566196" y="1636782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1566595</xdr:colOff>
      <xdr:row>11</xdr:row>
      <xdr:rowOff>541909</xdr:rowOff>
    </xdr:from>
    <xdr:to>
      <xdr:col>1</xdr:col>
      <xdr:colOff>1969613</xdr:colOff>
      <xdr:row>11</xdr:row>
      <xdr:rowOff>752311</xdr:rowOff>
    </xdr:to>
    <xdr:sp macro="" textlink="">
      <xdr:nvSpPr>
        <xdr:cNvPr id="53" name="Text Box 255">
          <a:extLst>
            <a:ext uri="{FF2B5EF4-FFF2-40B4-BE49-F238E27FC236}">
              <a16:creationId xmlns:a16="http://schemas.microsoft.com/office/drawing/2014/main" id="{00000000-0008-0000-0600-000035000000}"/>
            </a:ext>
          </a:extLst>
        </xdr:cNvPr>
        <xdr:cNvSpPr txBox="1">
          <a:spLocks noChangeArrowheads="1"/>
        </xdr:cNvSpPr>
      </xdr:nvSpPr>
      <xdr:spPr bwMode="auto">
        <a:xfrm>
          <a:off x="2274166" y="1404518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1587823</xdr:colOff>
      <xdr:row>11</xdr:row>
      <xdr:rowOff>219817</xdr:rowOff>
    </xdr:from>
    <xdr:to>
      <xdr:col>1</xdr:col>
      <xdr:colOff>1977506</xdr:colOff>
      <xdr:row>11</xdr:row>
      <xdr:rowOff>416884</xdr:rowOff>
    </xdr:to>
    <xdr:sp macro="" textlink="">
      <xdr:nvSpPr>
        <xdr:cNvPr id="54" name="Text Box 255">
          <a:extLst>
            <a:ext uri="{FF2B5EF4-FFF2-40B4-BE49-F238E27FC236}">
              <a16:creationId xmlns:a16="http://schemas.microsoft.com/office/drawing/2014/main" id="{00000000-0008-0000-0600-000036000000}"/>
            </a:ext>
          </a:extLst>
        </xdr:cNvPr>
        <xdr:cNvSpPr txBox="1">
          <a:spLocks noChangeArrowheads="1"/>
        </xdr:cNvSpPr>
      </xdr:nvSpPr>
      <xdr:spPr bwMode="auto">
        <a:xfrm>
          <a:off x="2287774" y="1371547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2175253</xdr:colOff>
      <xdr:row>11</xdr:row>
      <xdr:rowOff>559283</xdr:rowOff>
    </xdr:from>
    <xdr:to>
      <xdr:col>1</xdr:col>
      <xdr:colOff>2580176</xdr:colOff>
      <xdr:row>11</xdr:row>
      <xdr:rowOff>758255</xdr:rowOff>
    </xdr:to>
    <xdr:sp macro="" textlink="">
      <xdr:nvSpPr>
        <xdr:cNvPr id="55" name="Text Box 255">
          <a:extLst>
            <a:ext uri="{FF2B5EF4-FFF2-40B4-BE49-F238E27FC236}">
              <a16:creationId xmlns:a16="http://schemas.microsoft.com/office/drawing/2014/main" id="{00000000-0008-0000-0600-000037000000}"/>
            </a:ext>
          </a:extLst>
        </xdr:cNvPr>
        <xdr:cNvSpPr txBox="1">
          <a:spLocks noChangeArrowheads="1"/>
        </xdr:cNvSpPr>
      </xdr:nvSpPr>
      <xdr:spPr bwMode="auto">
        <a:xfrm>
          <a:off x="2882824" y="140530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2174730</xdr:colOff>
      <xdr:row>11</xdr:row>
      <xdr:rowOff>272904</xdr:rowOff>
    </xdr:from>
    <xdr:to>
      <xdr:col>1</xdr:col>
      <xdr:colOff>2579653</xdr:colOff>
      <xdr:row>11</xdr:row>
      <xdr:rowOff>483306</xdr:rowOff>
    </xdr:to>
    <xdr:sp macro="" textlink="">
      <xdr:nvSpPr>
        <xdr:cNvPr id="56" name="Text Box 255">
          <a:extLst>
            <a:ext uri="{FF2B5EF4-FFF2-40B4-BE49-F238E27FC236}">
              <a16:creationId xmlns:a16="http://schemas.microsoft.com/office/drawing/2014/main" id="{00000000-0008-0000-0600-000038000000}"/>
            </a:ext>
          </a:extLst>
        </xdr:cNvPr>
        <xdr:cNvSpPr txBox="1">
          <a:spLocks noChangeArrowheads="1"/>
        </xdr:cNvSpPr>
      </xdr:nvSpPr>
      <xdr:spPr bwMode="auto">
        <a:xfrm>
          <a:off x="2882301" y="1377618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1096312</xdr:colOff>
      <xdr:row>16</xdr:row>
      <xdr:rowOff>252302</xdr:rowOff>
    </xdr:from>
    <xdr:to>
      <xdr:col>1</xdr:col>
      <xdr:colOff>1487900</xdr:colOff>
      <xdr:row>16</xdr:row>
      <xdr:rowOff>449369</xdr:rowOff>
    </xdr:to>
    <xdr:sp macro="" textlink="">
      <xdr:nvSpPr>
        <xdr:cNvPr id="83" name="Text Box 255">
          <a:extLst>
            <a:ext uri="{FF2B5EF4-FFF2-40B4-BE49-F238E27FC236}">
              <a16:creationId xmlns:a16="http://schemas.microsoft.com/office/drawing/2014/main" id="{00000000-0008-0000-0600-000053000000}"/>
            </a:ext>
          </a:extLst>
        </xdr:cNvPr>
        <xdr:cNvSpPr txBox="1">
          <a:spLocks noChangeArrowheads="1"/>
        </xdr:cNvSpPr>
      </xdr:nvSpPr>
      <xdr:spPr bwMode="auto">
        <a:xfrm>
          <a:off x="1797035" y="2211387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1068616</xdr:colOff>
      <xdr:row>16</xdr:row>
      <xdr:rowOff>638725</xdr:rowOff>
    </xdr:from>
    <xdr:to>
      <xdr:col>1</xdr:col>
      <xdr:colOff>1473539</xdr:colOff>
      <xdr:row>16</xdr:row>
      <xdr:rowOff>833887</xdr:rowOff>
    </xdr:to>
    <xdr:sp macro="" textlink="">
      <xdr:nvSpPr>
        <xdr:cNvPr id="84" name="Text Box 255">
          <a:extLst>
            <a:ext uri="{FF2B5EF4-FFF2-40B4-BE49-F238E27FC236}">
              <a16:creationId xmlns:a16="http://schemas.microsoft.com/office/drawing/2014/main" id="{00000000-0008-0000-0600-000054000000}"/>
            </a:ext>
          </a:extLst>
        </xdr:cNvPr>
        <xdr:cNvSpPr txBox="1">
          <a:spLocks noChangeArrowheads="1"/>
        </xdr:cNvSpPr>
      </xdr:nvSpPr>
      <xdr:spPr bwMode="auto">
        <a:xfrm>
          <a:off x="1775054" y="2250220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425899</xdr:colOff>
      <xdr:row>16</xdr:row>
      <xdr:rowOff>256258</xdr:rowOff>
    </xdr:from>
    <xdr:to>
      <xdr:col>1</xdr:col>
      <xdr:colOff>830822</xdr:colOff>
      <xdr:row>16</xdr:row>
      <xdr:rowOff>453325</xdr:rowOff>
    </xdr:to>
    <xdr:sp macro="" textlink="">
      <xdr:nvSpPr>
        <xdr:cNvPr id="85" name="Text Box 255">
          <a:extLst>
            <a:ext uri="{FF2B5EF4-FFF2-40B4-BE49-F238E27FC236}">
              <a16:creationId xmlns:a16="http://schemas.microsoft.com/office/drawing/2014/main" id="{00000000-0008-0000-0600-000055000000}"/>
            </a:ext>
          </a:extLst>
        </xdr:cNvPr>
        <xdr:cNvSpPr txBox="1">
          <a:spLocks noChangeArrowheads="1"/>
        </xdr:cNvSpPr>
      </xdr:nvSpPr>
      <xdr:spPr bwMode="auto">
        <a:xfrm>
          <a:off x="1136147" y="2211973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423595</xdr:colOff>
      <xdr:row>16</xdr:row>
      <xdr:rowOff>636862</xdr:rowOff>
    </xdr:from>
    <xdr:to>
      <xdr:col>1</xdr:col>
      <xdr:colOff>828518</xdr:colOff>
      <xdr:row>16</xdr:row>
      <xdr:rowOff>833929</xdr:rowOff>
    </xdr:to>
    <xdr:sp macro="" textlink="">
      <xdr:nvSpPr>
        <xdr:cNvPr id="86" name="Text Box 255">
          <a:extLst>
            <a:ext uri="{FF2B5EF4-FFF2-40B4-BE49-F238E27FC236}">
              <a16:creationId xmlns:a16="http://schemas.microsoft.com/office/drawing/2014/main" id="{00000000-0008-0000-0600-000056000000}"/>
            </a:ext>
          </a:extLst>
        </xdr:cNvPr>
        <xdr:cNvSpPr txBox="1">
          <a:spLocks noChangeArrowheads="1"/>
        </xdr:cNvSpPr>
      </xdr:nvSpPr>
      <xdr:spPr bwMode="auto">
        <a:xfrm>
          <a:off x="1133843" y="2249843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414655</xdr:colOff>
      <xdr:row>16</xdr:row>
      <xdr:rowOff>1109009</xdr:rowOff>
    </xdr:from>
    <xdr:to>
      <xdr:col>1</xdr:col>
      <xdr:colOff>806243</xdr:colOff>
      <xdr:row>16</xdr:row>
      <xdr:rowOff>1321316</xdr:rowOff>
    </xdr:to>
    <xdr:sp macro="" textlink="">
      <xdr:nvSpPr>
        <xdr:cNvPr id="87" name="Text Box 255">
          <a:extLst>
            <a:ext uri="{FF2B5EF4-FFF2-40B4-BE49-F238E27FC236}">
              <a16:creationId xmlns:a16="http://schemas.microsoft.com/office/drawing/2014/main" id="{00000000-0008-0000-0600-000057000000}"/>
            </a:ext>
          </a:extLst>
        </xdr:cNvPr>
        <xdr:cNvSpPr txBox="1">
          <a:spLocks noChangeArrowheads="1"/>
        </xdr:cNvSpPr>
      </xdr:nvSpPr>
      <xdr:spPr bwMode="auto">
        <a:xfrm>
          <a:off x="1119188" y="2298201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694690</xdr:colOff>
      <xdr:row>16</xdr:row>
      <xdr:rowOff>1109009</xdr:rowOff>
    </xdr:from>
    <xdr:to>
      <xdr:col>1</xdr:col>
      <xdr:colOff>1099613</xdr:colOff>
      <xdr:row>16</xdr:row>
      <xdr:rowOff>1321316</xdr:rowOff>
    </xdr:to>
    <xdr:sp macro="" textlink="">
      <xdr:nvSpPr>
        <xdr:cNvPr id="88" name="Text Box 255">
          <a:extLst>
            <a:ext uri="{FF2B5EF4-FFF2-40B4-BE49-F238E27FC236}">
              <a16:creationId xmlns:a16="http://schemas.microsoft.com/office/drawing/2014/main" id="{00000000-0008-0000-0600-000058000000}"/>
            </a:ext>
          </a:extLst>
        </xdr:cNvPr>
        <xdr:cNvSpPr txBox="1">
          <a:spLocks noChangeArrowheads="1"/>
        </xdr:cNvSpPr>
      </xdr:nvSpPr>
      <xdr:spPr bwMode="auto">
        <a:xfrm>
          <a:off x="1404938" y="2298201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573943</xdr:colOff>
      <xdr:row>16</xdr:row>
      <xdr:rowOff>1570604</xdr:rowOff>
    </xdr:from>
    <xdr:to>
      <xdr:col>1</xdr:col>
      <xdr:colOff>978866</xdr:colOff>
      <xdr:row>16</xdr:row>
      <xdr:rowOff>1781006</xdr:rowOff>
    </xdr:to>
    <xdr:sp macro="" textlink="">
      <xdr:nvSpPr>
        <xdr:cNvPr id="89" name="Text Box 255">
          <a:extLst>
            <a:ext uri="{FF2B5EF4-FFF2-40B4-BE49-F238E27FC236}">
              <a16:creationId xmlns:a16="http://schemas.microsoft.com/office/drawing/2014/main" id="{00000000-0008-0000-0600-000059000000}"/>
            </a:ext>
          </a:extLst>
        </xdr:cNvPr>
        <xdr:cNvSpPr txBox="1">
          <a:spLocks noChangeArrowheads="1"/>
        </xdr:cNvSpPr>
      </xdr:nvSpPr>
      <xdr:spPr bwMode="auto">
        <a:xfrm>
          <a:off x="1280381" y="2344360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2505173</xdr:colOff>
      <xdr:row>16</xdr:row>
      <xdr:rowOff>3190586</xdr:rowOff>
    </xdr:from>
    <xdr:to>
      <xdr:col>1</xdr:col>
      <xdr:colOff>2896761</xdr:colOff>
      <xdr:row>16</xdr:row>
      <xdr:rowOff>3387653</xdr:rowOff>
    </xdr:to>
    <xdr:sp macro="" textlink="">
      <xdr:nvSpPr>
        <xdr:cNvPr id="90" name="Text Box 255">
          <a:extLst>
            <a:ext uri="{FF2B5EF4-FFF2-40B4-BE49-F238E27FC236}">
              <a16:creationId xmlns:a16="http://schemas.microsoft.com/office/drawing/2014/main" id="{00000000-0008-0000-0600-00005A000000}"/>
            </a:ext>
          </a:extLst>
        </xdr:cNvPr>
        <xdr:cNvSpPr txBox="1">
          <a:spLocks noChangeArrowheads="1"/>
        </xdr:cNvSpPr>
      </xdr:nvSpPr>
      <xdr:spPr bwMode="auto">
        <a:xfrm>
          <a:off x="3205896" y="2505406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1826847</xdr:colOff>
      <xdr:row>16</xdr:row>
      <xdr:rowOff>2926379</xdr:rowOff>
    </xdr:from>
    <xdr:to>
      <xdr:col>1</xdr:col>
      <xdr:colOff>2231770</xdr:colOff>
      <xdr:row>16</xdr:row>
      <xdr:rowOff>3123446</xdr:rowOff>
    </xdr:to>
    <xdr:sp macro="" textlink="">
      <xdr:nvSpPr>
        <xdr:cNvPr id="91" name="Text Box 255">
          <a:extLst>
            <a:ext uri="{FF2B5EF4-FFF2-40B4-BE49-F238E27FC236}">
              <a16:creationId xmlns:a16="http://schemas.microsoft.com/office/drawing/2014/main" id="{00000000-0008-0000-0600-00005B000000}"/>
            </a:ext>
          </a:extLst>
        </xdr:cNvPr>
        <xdr:cNvSpPr txBox="1">
          <a:spLocks noChangeArrowheads="1"/>
        </xdr:cNvSpPr>
      </xdr:nvSpPr>
      <xdr:spPr bwMode="auto">
        <a:xfrm>
          <a:off x="2533285" y="24791763"/>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1521209</xdr:colOff>
      <xdr:row>16</xdr:row>
      <xdr:rowOff>606737</xdr:rowOff>
    </xdr:from>
    <xdr:to>
      <xdr:col>1</xdr:col>
      <xdr:colOff>1914702</xdr:colOff>
      <xdr:row>16</xdr:row>
      <xdr:rowOff>803804</xdr:rowOff>
    </xdr:to>
    <xdr:sp macro="" textlink="">
      <xdr:nvSpPr>
        <xdr:cNvPr id="92" name="Text Box 255">
          <a:extLst>
            <a:ext uri="{FF2B5EF4-FFF2-40B4-BE49-F238E27FC236}">
              <a16:creationId xmlns:a16="http://schemas.microsoft.com/office/drawing/2014/main" id="{00000000-0008-0000-0600-00005C000000}"/>
            </a:ext>
          </a:extLst>
        </xdr:cNvPr>
        <xdr:cNvSpPr txBox="1">
          <a:spLocks noChangeArrowheads="1"/>
        </xdr:cNvSpPr>
      </xdr:nvSpPr>
      <xdr:spPr bwMode="auto">
        <a:xfrm>
          <a:off x="2228780" y="2250654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1552235</xdr:colOff>
      <xdr:row>16</xdr:row>
      <xdr:rowOff>270221</xdr:rowOff>
    </xdr:from>
    <xdr:to>
      <xdr:col>1</xdr:col>
      <xdr:colOff>1945728</xdr:colOff>
      <xdr:row>16</xdr:row>
      <xdr:rowOff>467288</xdr:rowOff>
    </xdr:to>
    <xdr:sp macro="" textlink="">
      <xdr:nvSpPr>
        <xdr:cNvPr id="93" name="Text Box 255">
          <a:extLst>
            <a:ext uri="{FF2B5EF4-FFF2-40B4-BE49-F238E27FC236}">
              <a16:creationId xmlns:a16="http://schemas.microsoft.com/office/drawing/2014/main" id="{00000000-0008-0000-0600-00005D000000}"/>
            </a:ext>
          </a:extLst>
        </xdr:cNvPr>
        <xdr:cNvSpPr txBox="1">
          <a:spLocks noChangeArrowheads="1"/>
        </xdr:cNvSpPr>
      </xdr:nvSpPr>
      <xdr:spPr bwMode="auto">
        <a:xfrm>
          <a:off x="2254863" y="2213941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2126873</xdr:colOff>
      <xdr:row>16</xdr:row>
      <xdr:rowOff>607782</xdr:rowOff>
    </xdr:from>
    <xdr:to>
      <xdr:col>1</xdr:col>
      <xdr:colOff>2518461</xdr:colOff>
      <xdr:row>16</xdr:row>
      <xdr:rowOff>804849</xdr:rowOff>
    </xdr:to>
    <xdr:sp macro="" textlink="">
      <xdr:nvSpPr>
        <xdr:cNvPr id="94" name="Text Box 255">
          <a:extLst>
            <a:ext uri="{FF2B5EF4-FFF2-40B4-BE49-F238E27FC236}">
              <a16:creationId xmlns:a16="http://schemas.microsoft.com/office/drawing/2014/main" id="{00000000-0008-0000-0600-00005E000000}"/>
            </a:ext>
          </a:extLst>
        </xdr:cNvPr>
        <xdr:cNvSpPr txBox="1">
          <a:spLocks noChangeArrowheads="1"/>
        </xdr:cNvSpPr>
      </xdr:nvSpPr>
      <xdr:spPr bwMode="auto">
        <a:xfrm>
          <a:off x="2830634" y="2250759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2126350</xdr:colOff>
      <xdr:row>16</xdr:row>
      <xdr:rowOff>339637</xdr:rowOff>
    </xdr:from>
    <xdr:to>
      <xdr:col>1</xdr:col>
      <xdr:colOff>2517938</xdr:colOff>
      <xdr:row>16</xdr:row>
      <xdr:rowOff>536704</xdr:rowOff>
    </xdr:to>
    <xdr:sp macro="" textlink="">
      <xdr:nvSpPr>
        <xdr:cNvPr id="95" name="Text Box 255">
          <a:extLst>
            <a:ext uri="{FF2B5EF4-FFF2-40B4-BE49-F238E27FC236}">
              <a16:creationId xmlns:a16="http://schemas.microsoft.com/office/drawing/2014/main" id="{00000000-0008-0000-0600-00005F000000}"/>
            </a:ext>
          </a:extLst>
        </xdr:cNvPr>
        <xdr:cNvSpPr txBox="1">
          <a:spLocks noChangeArrowheads="1"/>
        </xdr:cNvSpPr>
      </xdr:nvSpPr>
      <xdr:spPr bwMode="auto">
        <a:xfrm>
          <a:off x="2830111" y="2223754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1095542</xdr:colOff>
      <xdr:row>20</xdr:row>
      <xdr:rowOff>223723</xdr:rowOff>
    </xdr:from>
    <xdr:to>
      <xdr:col>1</xdr:col>
      <xdr:colOff>1489035</xdr:colOff>
      <xdr:row>20</xdr:row>
      <xdr:rowOff>420790</xdr:rowOff>
    </xdr:to>
    <xdr:sp macro="" textlink="">
      <xdr:nvSpPr>
        <xdr:cNvPr id="109" name="Text Box 255">
          <a:extLst>
            <a:ext uri="{FF2B5EF4-FFF2-40B4-BE49-F238E27FC236}">
              <a16:creationId xmlns:a16="http://schemas.microsoft.com/office/drawing/2014/main" id="{00000000-0008-0000-0600-00006D000000}"/>
            </a:ext>
          </a:extLst>
        </xdr:cNvPr>
        <xdr:cNvSpPr txBox="1">
          <a:spLocks noChangeArrowheads="1"/>
        </xdr:cNvSpPr>
      </xdr:nvSpPr>
      <xdr:spPr bwMode="auto">
        <a:xfrm>
          <a:off x="1799303" y="3035413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INJ</a:t>
          </a:r>
        </a:p>
      </xdr:txBody>
    </xdr:sp>
    <xdr:clientData/>
  </xdr:twoCellAnchor>
  <xdr:twoCellAnchor editAs="absolute">
    <xdr:from>
      <xdr:col>1</xdr:col>
      <xdr:colOff>1069751</xdr:colOff>
      <xdr:row>20</xdr:row>
      <xdr:rowOff>608241</xdr:rowOff>
    </xdr:from>
    <xdr:to>
      <xdr:col>1</xdr:col>
      <xdr:colOff>1474674</xdr:colOff>
      <xdr:row>20</xdr:row>
      <xdr:rowOff>805308</xdr:rowOff>
    </xdr:to>
    <xdr:sp macro="" textlink="">
      <xdr:nvSpPr>
        <xdr:cNvPr id="110" name="Text Box 255">
          <a:extLst>
            <a:ext uri="{FF2B5EF4-FFF2-40B4-BE49-F238E27FC236}">
              <a16:creationId xmlns:a16="http://schemas.microsoft.com/office/drawing/2014/main" id="{00000000-0008-0000-0600-00006E000000}"/>
            </a:ext>
          </a:extLst>
        </xdr:cNvPr>
        <xdr:cNvSpPr txBox="1">
          <a:spLocks noChangeArrowheads="1"/>
        </xdr:cNvSpPr>
      </xdr:nvSpPr>
      <xdr:spPr bwMode="auto">
        <a:xfrm>
          <a:off x="1777322" y="3074246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427034</xdr:colOff>
      <xdr:row>20</xdr:row>
      <xdr:rowOff>225774</xdr:rowOff>
    </xdr:from>
    <xdr:to>
      <xdr:col>1</xdr:col>
      <xdr:colOff>831957</xdr:colOff>
      <xdr:row>20</xdr:row>
      <xdr:rowOff>422841</xdr:rowOff>
    </xdr:to>
    <xdr:sp macro="" textlink="">
      <xdr:nvSpPr>
        <xdr:cNvPr id="111" name="Text Box 255">
          <a:extLst>
            <a:ext uri="{FF2B5EF4-FFF2-40B4-BE49-F238E27FC236}">
              <a16:creationId xmlns:a16="http://schemas.microsoft.com/office/drawing/2014/main" id="{00000000-0008-0000-0600-00006F000000}"/>
            </a:ext>
          </a:extLst>
        </xdr:cNvPr>
        <xdr:cNvSpPr txBox="1">
          <a:spLocks noChangeArrowheads="1"/>
        </xdr:cNvSpPr>
      </xdr:nvSpPr>
      <xdr:spPr bwMode="auto">
        <a:xfrm>
          <a:off x="1138415" y="3035999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SEN</a:t>
          </a:r>
        </a:p>
      </xdr:txBody>
    </xdr:sp>
    <xdr:clientData/>
  </xdr:twoCellAnchor>
  <xdr:twoCellAnchor editAs="absolute">
    <xdr:from>
      <xdr:col>1</xdr:col>
      <xdr:colOff>424730</xdr:colOff>
      <xdr:row>20</xdr:row>
      <xdr:rowOff>606378</xdr:rowOff>
    </xdr:from>
    <xdr:to>
      <xdr:col>1</xdr:col>
      <xdr:colOff>829653</xdr:colOff>
      <xdr:row>20</xdr:row>
      <xdr:rowOff>803445</xdr:rowOff>
    </xdr:to>
    <xdr:sp macro="" textlink="">
      <xdr:nvSpPr>
        <xdr:cNvPr id="112" name="Text Box 255">
          <a:extLst>
            <a:ext uri="{FF2B5EF4-FFF2-40B4-BE49-F238E27FC236}">
              <a16:creationId xmlns:a16="http://schemas.microsoft.com/office/drawing/2014/main" id="{00000000-0008-0000-0600-000070000000}"/>
            </a:ext>
          </a:extLst>
        </xdr:cNvPr>
        <xdr:cNvSpPr txBox="1">
          <a:spLocks noChangeArrowheads="1"/>
        </xdr:cNvSpPr>
      </xdr:nvSpPr>
      <xdr:spPr bwMode="auto">
        <a:xfrm>
          <a:off x="1136111" y="30738698"/>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DAMP</a:t>
          </a:r>
        </a:p>
      </xdr:txBody>
    </xdr:sp>
    <xdr:clientData/>
  </xdr:twoCellAnchor>
  <xdr:twoCellAnchor editAs="absolute">
    <xdr:from>
      <xdr:col>1</xdr:col>
      <xdr:colOff>415790</xdr:colOff>
      <xdr:row>20</xdr:row>
      <xdr:rowOff>1093765</xdr:rowOff>
    </xdr:from>
    <xdr:to>
      <xdr:col>1</xdr:col>
      <xdr:colOff>807378</xdr:colOff>
      <xdr:row>20</xdr:row>
      <xdr:rowOff>1290832</xdr:rowOff>
    </xdr:to>
    <xdr:sp macro="" textlink="">
      <xdr:nvSpPr>
        <xdr:cNvPr id="113" name="Text Box 255">
          <a:extLst>
            <a:ext uri="{FF2B5EF4-FFF2-40B4-BE49-F238E27FC236}">
              <a16:creationId xmlns:a16="http://schemas.microsoft.com/office/drawing/2014/main" id="{00000000-0008-0000-0600-000071000000}"/>
            </a:ext>
          </a:extLst>
        </xdr:cNvPr>
        <xdr:cNvSpPr txBox="1">
          <a:spLocks noChangeArrowheads="1"/>
        </xdr:cNvSpPr>
      </xdr:nvSpPr>
      <xdr:spPr bwMode="auto">
        <a:xfrm>
          <a:off x="1121456" y="3122227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695825</xdr:colOff>
      <xdr:row>20</xdr:row>
      <xdr:rowOff>1093765</xdr:rowOff>
    </xdr:from>
    <xdr:to>
      <xdr:col>1</xdr:col>
      <xdr:colOff>1100748</xdr:colOff>
      <xdr:row>20</xdr:row>
      <xdr:rowOff>1290832</xdr:rowOff>
    </xdr:to>
    <xdr:sp macro="" textlink="">
      <xdr:nvSpPr>
        <xdr:cNvPr id="114" name="Text Box 255">
          <a:extLst>
            <a:ext uri="{FF2B5EF4-FFF2-40B4-BE49-F238E27FC236}">
              <a16:creationId xmlns:a16="http://schemas.microsoft.com/office/drawing/2014/main" id="{00000000-0008-0000-0600-000072000000}"/>
            </a:ext>
          </a:extLst>
        </xdr:cNvPr>
        <xdr:cNvSpPr txBox="1">
          <a:spLocks noChangeArrowheads="1"/>
        </xdr:cNvSpPr>
      </xdr:nvSpPr>
      <xdr:spPr bwMode="auto">
        <a:xfrm>
          <a:off x="1407206" y="3122227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AEFC</a:t>
          </a:r>
        </a:p>
      </xdr:txBody>
    </xdr:sp>
    <xdr:clientData/>
  </xdr:twoCellAnchor>
  <xdr:twoCellAnchor editAs="absolute">
    <xdr:from>
      <xdr:col>1</xdr:col>
      <xdr:colOff>575078</xdr:colOff>
      <xdr:row>20</xdr:row>
      <xdr:rowOff>1553455</xdr:rowOff>
    </xdr:from>
    <xdr:to>
      <xdr:col>1</xdr:col>
      <xdr:colOff>980001</xdr:colOff>
      <xdr:row>20</xdr:row>
      <xdr:rowOff>1750522</xdr:rowOff>
    </xdr:to>
    <xdr:sp macro="" textlink="">
      <xdr:nvSpPr>
        <xdr:cNvPr id="115" name="Text Box 255">
          <a:extLst>
            <a:ext uri="{FF2B5EF4-FFF2-40B4-BE49-F238E27FC236}">
              <a16:creationId xmlns:a16="http://schemas.microsoft.com/office/drawing/2014/main" id="{00000000-0008-0000-0600-000073000000}"/>
            </a:ext>
          </a:extLst>
        </xdr:cNvPr>
        <xdr:cNvSpPr txBox="1">
          <a:spLocks noChangeArrowheads="1"/>
        </xdr:cNvSpPr>
      </xdr:nvSpPr>
      <xdr:spPr bwMode="auto">
        <a:xfrm>
          <a:off x="1282649" y="31683870"/>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AEFDC</a:t>
          </a:r>
        </a:p>
      </xdr:txBody>
    </xdr:sp>
    <xdr:clientData/>
  </xdr:twoCellAnchor>
  <xdr:twoCellAnchor editAs="absolute">
    <xdr:from>
      <xdr:col>1</xdr:col>
      <xdr:colOff>2504403</xdr:colOff>
      <xdr:row>20</xdr:row>
      <xdr:rowOff>3160102</xdr:rowOff>
    </xdr:from>
    <xdr:to>
      <xdr:col>1</xdr:col>
      <xdr:colOff>2897896</xdr:colOff>
      <xdr:row>20</xdr:row>
      <xdr:rowOff>3357169</xdr:rowOff>
    </xdr:to>
    <xdr:sp macro="" textlink="">
      <xdr:nvSpPr>
        <xdr:cNvPr id="116" name="Text Box 255">
          <a:extLst>
            <a:ext uri="{FF2B5EF4-FFF2-40B4-BE49-F238E27FC236}">
              <a16:creationId xmlns:a16="http://schemas.microsoft.com/office/drawing/2014/main" id="{00000000-0008-0000-0600-000074000000}"/>
            </a:ext>
          </a:extLst>
        </xdr:cNvPr>
        <xdr:cNvSpPr txBox="1">
          <a:spLocks noChangeArrowheads="1"/>
        </xdr:cNvSpPr>
      </xdr:nvSpPr>
      <xdr:spPr bwMode="auto">
        <a:xfrm>
          <a:off x="3208164" y="3329432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1827982</xdr:colOff>
      <xdr:row>20</xdr:row>
      <xdr:rowOff>2897800</xdr:rowOff>
    </xdr:from>
    <xdr:to>
      <xdr:col>1</xdr:col>
      <xdr:colOff>2232905</xdr:colOff>
      <xdr:row>20</xdr:row>
      <xdr:rowOff>3094867</xdr:rowOff>
    </xdr:to>
    <xdr:sp macro="" textlink="">
      <xdr:nvSpPr>
        <xdr:cNvPr id="117" name="Text Box 255">
          <a:extLst>
            <a:ext uri="{FF2B5EF4-FFF2-40B4-BE49-F238E27FC236}">
              <a16:creationId xmlns:a16="http://schemas.microsoft.com/office/drawing/2014/main" id="{00000000-0008-0000-0600-000075000000}"/>
            </a:ext>
          </a:extLst>
        </xdr:cNvPr>
        <xdr:cNvSpPr txBox="1">
          <a:spLocks noChangeArrowheads="1"/>
        </xdr:cNvSpPr>
      </xdr:nvSpPr>
      <xdr:spPr bwMode="auto">
        <a:xfrm>
          <a:off x="2535553" y="33032025"/>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AEFVD</a:t>
          </a:r>
        </a:p>
      </xdr:txBody>
    </xdr:sp>
    <xdr:clientData/>
  </xdr:twoCellAnchor>
  <xdr:twoCellAnchor editAs="absolute">
    <xdr:from>
      <xdr:col>1</xdr:col>
      <xdr:colOff>1519350</xdr:colOff>
      <xdr:row>20</xdr:row>
      <xdr:rowOff>575164</xdr:rowOff>
    </xdr:from>
    <xdr:to>
      <xdr:col>1</xdr:col>
      <xdr:colOff>1909033</xdr:colOff>
      <xdr:row>20</xdr:row>
      <xdr:rowOff>772231</xdr:rowOff>
    </xdr:to>
    <xdr:sp macro="" textlink="">
      <xdr:nvSpPr>
        <xdr:cNvPr id="118" name="Text Box 255">
          <a:extLst>
            <a:ext uri="{FF2B5EF4-FFF2-40B4-BE49-F238E27FC236}">
              <a16:creationId xmlns:a16="http://schemas.microsoft.com/office/drawing/2014/main" id="{00000000-0008-0000-0600-000076000000}"/>
            </a:ext>
          </a:extLst>
        </xdr:cNvPr>
        <xdr:cNvSpPr txBox="1">
          <a:spLocks noChangeArrowheads="1"/>
        </xdr:cNvSpPr>
      </xdr:nvSpPr>
      <xdr:spPr bwMode="auto">
        <a:xfrm>
          <a:off x="2223111" y="30709389"/>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1553370</xdr:colOff>
      <xdr:row>20</xdr:row>
      <xdr:rowOff>253072</xdr:rowOff>
    </xdr:from>
    <xdr:to>
      <xdr:col>1</xdr:col>
      <xdr:colOff>1946863</xdr:colOff>
      <xdr:row>20</xdr:row>
      <xdr:rowOff>450139</xdr:rowOff>
    </xdr:to>
    <xdr:sp macro="" textlink="">
      <xdr:nvSpPr>
        <xdr:cNvPr id="119" name="Text Box 255">
          <a:extLst>
            <a:ext uri="{FF2B5EF4-FFF2-40B4-BE49-F238E27FC236}">
              <a16:creationId xmlns:a16="http://schemas.microsoft.com/office/drawing/2014/main" id="{00000000-0008-0000-0600-000077000000}"/>
            </a:ext>
          </a:extLst>
        </xdr:cNvPr>
        <xdr:cNvSpPr txBox="1">
          <a:spLocks noChangeArrowheads="1"/>
        </xdr:cNvSpPr>
      </xdr:nvSpPr>
      <xdr:spPr bwMode="auto">
        <a:xfrm>
          <a:off x="2257131" y="30379677"/>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INC</a:t>
          </a:r>
        </a:p>
      </xdr:txBody>
    </xdr:sp>
    <xdr:clientData/>
  </xdr:twoCellAnchor>
  <xdr:twoCellAnchor editAs="absolute">
    <xdr:from>
      <xdr:col>1</xdr:col>
      <xdr:colOff>2123109</xdr:colOff>
      <xdr:row>20</xdr:row>
      <xdr:rowOff>597437</xdr:rowOff>
    </xdr:from>
    <xdr:to>
      <xdr:col>1</xdr:col>
      <xdr:colOff>2514697</xdr:colOff>
      <xdr:row>20</xdr:row>
      <xdr:rowOff>794504</xdr:rowOff>
    </xdr:to>
    <xdr:sp macro="" textlink="">
      <xdr:nvSpPr>
        <xdr:cNvPr id="120" name="Text Box 255">
          <a:extLst>
            <a:ext uri="{FF2B5EF4-FFF2-40B4-BE49-F238E27FC236}">
              <a16:creationId xmlns:a16="http://schemas.microsoft.com/office/drawing/2014/main" id="{00000000-0008-0000-0600-000078000000}"/>
            </a:ext>
          </a:extLst>
        </xdr:cNvPr>
        <xdr:cNvSpPr txBox="1">
          <a:spLocks noChangeArrowheads="1"/>
        </xdr:cNvSpPr>
      </xdr:nvSpPr>
      <xdr:spPr bwMode="auto">
        <a:xfrm>
          <a:off x="2824965" y="30724042"/>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2122586</xdr:colOff>
      <xdr:row>20</xdr:row>
      <xdr:rowOff>306159</xdr:rowOff>
    </xdr:from>
    <xdr:to>
      <xdr:col>1</xdr:col>
      <xdr:colOff>2514174</xdr:colOff>
      <xdr:row>20</xdr:row>
      <xdr:rowOff>503226</xdr:rowOff>
    </xdr:to>
    <xdr:sp macro="" textlink="">
      <xdr:nvSpPr>
        <xdr:cNvPr id="121" name="Text Box 255">
          <a:extLst>
            <a:ext uri="{FF2B5EF4-FFF2-40B4-BE49-F238E27FC236}">
              <a16:creationId xmlns:a16="http://schemas.microsoft.com/office/drawing/2014/main" id="{00000000-0008-0000-0600-000079000000}"/>
            </a:ext>
          </a:extLst>
        </xdr:cNvPr>
        <xdr:cNvSpPr txBox="1">
          <a:spLocks noChangeArrowheads="1"/>
        </xdr:cNvSpPr>
      </xdr:nvSpPr>
      <xdr:spPr bwMode="auto">
        <a:xfrm>
          <a:off x="2824442" y="30440384"/>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IND</a:t>
          </a:r>
        </a:p>
      </xdr:txBody>
    </xdr:sp>
    <xdr:clientData/>
  </xdr:twoCellAnchor>
  <xdr:twoCellAnchor editAs="absolute">
    <xdr:from>
      <xdr:col>1</xdr:col>
      <xdr:colOff>1225096</xdr:colOff>
      <xdr:row>20</xdr:row>
      <xdr:rowOff>1094810</xdr:rowOff>
    </xdr:from>
    <xdr:to>
      <xdr:col>1</xdr:col>
      <xdr:colOff>1630019</xdr:colOff>
      <xdr:row>20</xdr:row>
      <xdr:rowOff>1291877</xdr:rowOff>
    </xdr:to>
    <xdr:sp macro="" textlink="">
      <xdr:nvSpPr>
        <xdr:cNvPr id="122" name="Text Box 255">
          <a:extLst>
            <a:ext uri="{FF2B5EF4-FFF2-40B4-BE49-F238E27FC236}">
              <a16:creationId xmlns:a16="http://schemas.microsoft.com/office/drawing/2014/main" id="{00000000-0008-0000-0600-00007A000000}"/>
            </a:ext>
          </a:extLst>
        </xdr:cNvPr>
        <xdr:cNvSpPr txBox="1">
          <a:spLocks noChangeArrowheads="1"/>
        </xdr:cNvSpPr>
      </xdr:nvSpPr>
      <xdr:spPr bwMode="auto">
        <a:xfrm>
          <a:off x="1932928" y="3124225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1241852</xdr:colOff>
      <xdr:row>20</xdr:row>
      <xdr:rowOff>1482055</xdr:rowOff>
    </xdr:from>
    <xdr:to>
      <xdr:col>1</xdr:col>
      <xdr:colOff>1635345</xdr:colOff>
      <xdr:row>20</xdr:row>
      <xdr:rowOff>1681027</xdr:rowOff>
    </xdr:to>
    <xdr:sp macro="" textlink="">
      <xdr:nvSpPr>
        <xdr:cNvPr id="123" name="Text Box 255">
          <a:extLst>
            <a:ext uri="{FF2B5EF4-FFF2-40B4-BE49-F238E27FC236}">
              <a16:creationId xmlns:a16="http://schemas.microsoft.com/office/drawing/2014/main" id="{00000000-0008-0000-0600-00007B000000}"/>
            </a:ext>
          </a:extLst>
        </xdr:cNvPr>
        <xdr:cNvSpPr txBox="1">
          <a:spLocks noChangeArrowheads="1"/>
        </xdr:cNvSpPr>
      </xdr:nvSpPr>
      <xdr:spPr bwMode="auto">
        <a:xfrm>
          <a:off x="1938254" y="3163330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FB2</a:t>
          </a:r>
        </a:p>
      </xdr:txBody>
    </xdr:sp>
    <xdr:clientData/>
  </xdr:twoCellAnchor>
  <xdr:twoCellAnchor>
    <xdr:from>
      <xdr:col>1</xdr:col>
      <xdr:colOff>1387929</xdr:colOff>
      <xdr:row>11</xdr:row>
      <xdr:rowOff>966107</xdr:rowOff>
    </xdr:from>
    <xdr:to>
      <xdr:col>1</xdr:col>
      <xdr:colOff>1785207</xdr:colOff>
      <xdr:row>11</xdr:row>
      <xdr:rowOff>1166961</xdr:rowOff>
    </xdr:to>
    <xdr:sp macro="" textlink="">
      <xdr:nvSpPr>
        <xdr:cNvPr id="124" name="Text Box 255">
          <a:extLst>
            <a:ext uri="{FF2B5EF4-FFF2-40B4-BE49-F238E27FC236}">
              <a16:creationId xmlns:a16="http://schemas.microsoft.com/office/drawing/2014/main" id="{00000000-0008-0000-0600-00007C000000}"/>
            </a:ext>
          </a:extLst>
        </xdr:cNvPr>
        <xdr:cNvSpPr txBox="1">
          <a:spLocks noChangeArrowheads="1"/>
        </xdr:cNvSpPr>
      </xdr:nvSpPr>
      <xdr:spPr bwMode="auto">
        <a:xfrm>
          <a:off x="2095500" y="14382750"/>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xdr:from>
      <xdr:col>1</xdr:col>
      <xdr:colOff>1760538</xdr:colOff>
      <xdr:row>16</xdr:row>
      <xdr:rowOff>1646238</xdr:rowOff>
    </xdr:from>
    <xdr:to>
      <xdr:col>1</xdr:col>
      <xdr:colOff>2157816</xdr:colOff>
      <xdr:row>16</xdr:row>
      <xdr:rowOff>1847092</xdr:rowOff>
    </xdr:to>
    <xdr:sp macro="" textlink="">
      <xdr:nvSpPr>
        <xdr:cNvPr id="125" name="Text Box 255">
          <a:extLst>
            <a:ext uri="{FF2B5EF4-FFF2-40B4-BE49-F238E27FC236}">
              <a16:creationId xmlns:a16="http://schemas.microsoft.com/office/drawing/2014/main" id="{00000000-0008-0000-0600-00007D000000}"/>
            </a:ext>
          </a:extLst>
        </xdr:cNvPr>
        <xdr:cNvSpPr txBox="1">
          <a:spLocks noChangeArrowheads="1"/>
        </xdr:cNvSpPr>
      </xdr:nvSpPr>
      <xdr:spPr bwMode="auto">
        <a:xfrm>
          <a:off x="2465388" y="23506113"/>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VDDA</a:t>
          </a:r>
          <a:endParaRPr lang="en-US" sz="700" b="0" i="0" strike="noStrike" baseline="-25000">
            <a:solidFill>
              <a:srgbClr val="000000"/>
            </a:solidFill>
            <a:latin typeface="Arial" pitchFamily="34" charset="0"/>
            <a:cs typeface="Arial" pitchFamily="34" charset="0"/>
          </a:endParaRPr>
        </a:p>
      </xdr:txBody>
    </xdr:sp>
    <xdr:clientData/>
  </xdr:twoCellAnchor>
  <xdr:twoCellAnchor>
    <xdr:from>
      <xdr:col>1</xdr:col>
      <xdr:colOff>1388765</xdr:colOff>
      <xdr:row>20</xdr:row>
      <xdr:rowOff>956060</xdr:rowOff>
    </xdr:from>
    <xdr:to>
      <xdr:col>1</xdr:col>
      <xdr:colOff>1786043</xdr:colOff>
      <xdr:row>20</xdr:row>
      <xdr:rowOff>1156914</xdr:rowOff>
    </xdr:to>
    <xdr:sp macro="" textlink="">
      <xdr:nvSpPr>
        <xdr:cNvPr id="128" name="Text Box 255">
          <a:extLst>
            <a:ext uri="{FF2B5EF4-FFF2-40B4-BE49-F238E27FC236}">
              <a16:creationId xmlns:a16="http://schemas.microsoft.com/office/drawing/2014/main" id="{00000000-0008-0000-0600-000080000000}"/>
            </a:ext>
          </a:extLst>
        </xdr:cNvPr>
        <xdr:cNvSpPr txBox="1">
          <a:spLocks noChangeArrowheads="1"/>
        </xdr:cNvSpPr>
      </xdr:nvSpPr>
      <xdr:spPr bwMode="auto">
        <a:xfrm>
          <a:off x="2092150" y="31025752"/>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VOUT</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1222303</xdr:colOff>
      <xdr:row>16</xdr:row>
      <xdr:rowOff>1130401</xdr:rowOff>
    </xdr:from>
    <xdr:to>
      <xdr:col>1</xdr:col>
      <xdr:colOff>1627226</xdr:colOff>
      <xdr:row>16</xdr:row>
      <xdr:rowOff>1327468</xdr:rowOff>
    </xdr:to>
    <xdr:sp macro="" textlink="">
      <xdr:nvSpPr>
        <xdr:cNvPr id="132" name="Text Box 255">
          <a:extLst>
            <a:ext uri="{FF2B5EF4-FFF2-40B4-BE49-F238E27FC236}">
              <a16:creationId xmlns:a16="http://schemas.microsoft.com/office/drawing/2014/main" id="{00000000-0008-0000-0600-000084000000}"/>
            </a:ext>
          </a:extLst>
        </xdr:cNvPr>
        <xdr:cNvSpPr txBox="1">
          <a:spLocks noChangeArrowheads="1"/>
        </xdr:cNvSpPr>
      </xdr:nvSpPr>
      <xdr:spPr bwMode="auto">
        <a:xfrm>
          <a:off x="1931779" y="23022591"/>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FB1</a:t>
          </a:r>
        </a:p>
      </xdr:txBody>
    </xdr:sp>
    <xdr:clientData/>
  </xdr:twoCellAnchor>
  <xdr:twoCellAnchor editAs="absolute">
    <xdr:from>
      <xdr:col>1</xdr:col>
      <xdr:colOff>1225724</xdr:colOff>
      <xdr:row>16</xdr:row>
      <xdr:rowOff>1517646</xdr:rowOff>
    </xdr:from>
    <xdr:to>
      <xdr:col>1</xdr:col>
      <xdr:colOff>1630647</xdr:colOff>
      <xdr:row>16</xdr:row>
      <xdr:rowOff>1714713</xdr:rowOff>
    </xdr:to>
    <xdr:sp macro="" textlink="">
      <xdr:nvSpPr>
        <xdr:cNvPr id="133" name="Text Box 255">
          <a:extLst>
            <a:ext uri="{FF2B5EF4-FFF2-40B4-BE49-F238E27FC236}">
              <a16:creationId xmlns:a16="http://schemas.microsoft.com/office/drawing/2014/main" id="{00000000-0008-0000-0600-000085000000}"/>
            </a:ext>
          </a:extLst>
        </xdr:cNvPr>
        <xdr:cNvSpPr txBox="1">
          <a:spLocks noChangeArrowheads="1"/>
        </xdr:cNvSpPr>
      </xdr:nvSpPr>
      <xdr:spPr bwMode="auto">
        <a:xfrm>
          <a:off x="1937105" y="23413646"/>
          <a:ext cx="397303"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FB2</a:t>
          </a:r>
        </a:p>
      </xdr:txBody>
    </xdr:sp>
    <xdr:clientData/>
  </xdr:twoCellAnchor>
  <xdr:twoCellAnchor>
    <xdr:from>
      <xdr:col>1</xdr:col>
      <xdr:colOff>1384067</xdr:colOff>
      <xdr:row>16</xdr:row>
      <xdr:rowOff>960438</xdr:rowOff>
    </xdr:from>
    <xdr:to>
      <xdr:col>1</xdr:col>
      <xdr:colOff>1781345</xdr:colOff>
      <xdr:row>16</xdr:row>
      <xdr:rowOff>1161292</xdr:rowOff>
    </xdr:to>
    <xdr:sp macro="" textlink="">
      <xdr:nvSpPr>
        <xdr:cNvPr id="134" name="Text Box 255">
          <a:extLst>
            <a:ext uri="{FF2B5EF4-FFF2-40B4-BE49-F238E27FC236}">
              <a16:creationId xmlns:a16="http://schemas.microsoft.com/office/drawing/2014/main" id="{00000000-0008-0000-0600-000086000000}"/>
            </a:ext>
          </a:extLst>
        </xdr:cNvPr>
        <xdr:cNvSpPr txBox="1">
          <a:spLocks noChangeArrowheads="1"/>
        </xdr:cNvSpPr>
      </xdr:nvSpPr>
      <xdr:spPr bwMode="auto">
        <a:xfrm>
          <a:off x="2091638" y="22827117"/>
          <a:ext cx="397278" cy="200854"/>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VOUT</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1359626</xdr:colOff>
      <xdr:row>11</xdr:row>
      <xdr:rowOff>2709634</xdr:rowOff>
    </xdr:from>
    <xdr:to>
      <xdr:col>1</xdr:col>
      <xdr:colOff>1745525</xdr:colOff>
      <xdr:row>11</xdr:row>
      <xdr:rowOff>2921941</xdr:rowOff>
    </xdr:to>
    <xdr:sp macro="" textlink="">
      <xdr:nvSpPr>
        <xdr:cNvPr id="138" name="Text Box 255">
          <a:extLst>
            <a:ext uri="{FF2B5EF4-FFF2-40B4-BE49-F238E27FC236}">
              <a16:creationId xmlns:a16="http://schemas.microsoft.com/office/drawing/2014/main" id="{00000000-0008-0000-0600-00008A000000}"/>
            </a:ext>
          </a:extLst>
        </xdr:cNvPr>
        <xdr:cNvSpPr txBox="1">
          <a:spLocks noChangeArrowheads="1"/>
        </xdr:cNvSpPr>
      </xdr:nvSpPr>
      <xdr:spPr bwMode="auto">
        <a:xfrm>
          <a:off x="2061482" y="16212913"/>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1360760</xdr:colOff>
      <xdr:row>16</xdr:row>
      <xdr:rowOff>2777880</xdr:rowOff>
    </xdr:from>
    <xdr:to>
      <xdr:col>1</xdr:col>
      <xdr:colOff>1746659</xdr:colOff>
      <xdr:row>16</xdr:row>
      <xdr:rowOff>2974947</xdr:rowOff>
    </xdr:to>
    <xdr:sp macro="" textlink="">
      <xdr:nvSpPr>
        <xdr:cNvPr id="139" name="Text Box 255">
          <a:extLst>
            <a:ext uri="{FF2B5EF4-FFF2-40B4-BE49-F238E27FC236}">
              <a16:creationId xmlns:a16="http://schemas.microsoft.com/office/drawing/2014/main" id="{00000000-0008-0000-0600-00008B000000}"/>
            </a:ext>
          </a:extLst>
        </xdr:cNvPr>
        <xdr:cNvSpPr txBox="1">
          <a:spLocks noChangeArrowheads="1"/>
        </xdr:cNvSpPr>
      </xdr:nvSpPr>
      <xdr:spPr bwMode="auto">
        <a:xfrm>
          <a:off x="2062616" y="24677690"/>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1359625</xdr:colOff>
      <xdr:row>20</xdr:row>
      <xdr:rowOff>2747438</xdr:rowOff>
    </xdr:from>
    <xdr:to>
      <xdr:col>1</xdr:col>
      <xdr:colOff>1745524</xdr:colOff>
      <xdr:row>20</xdr:row>
      <xdr:rowOff>2955935</xdr:rowOff>
    </xdr:to>
    <xdr:sp macro="" textlink="">
      <xdr:nvSpPr>
        <xdr:cNvPr id="140" name="Text Box 255">
          <a:extLst>
            <a:ext uri="{FF2B5EF4-FFF2-40B4-BE49-F238E27FC236}">
              <a16:creationId xmlns:a16="http://schemas.microsoft.com/office/drawing/2014/main" id="{00000000-0008-0000-0600-00008C000000}"/>
            </a:ext>
          </a:extLst>
        </xdr:cNvPr>
        <xdr:cNvSpPr txBox="1">
          <a:spLocks noChangeArrowheads="1"/>
        </xdr:cNvSpPr>
      </xdr:nvSpPr>
      <xdr:spPr bwMode="auto">
        <a:xfrm>
          <a:off x="2061481" y="32881663"/>
          <a:ext cx="387804" cy="2008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VCC</a:t>
          </a:r>
          <a:endParaRPr lang="en-US" sz="700" b="0" i="0" strike="noStrike" baseline="-25000">
            <a:solidFill>
              <a:srgbClr val="000000"/>
            </a:solidFill>
            <a:latin typeface="Arial" pitchFamily="34" charset="0"/>
            <a:cs typeface="Arial" pitchFamily="34" charset="0"/>
          </a:endParaRPr>
        </a:p>
      </xdr:txBody>
    </xdr:sp>
    <xdr:clientData/>
  </xdr:twoCellAnchor>
  <xdr:twoCellAnchor editAs="absolute">
    <xdr:from>
      <xdr:col>1</xdr:col>
      <xdr:colOff>2129310</xdr:colOff>
      <xdr:row>20</xdr:row>
      <xdr:rowOff>1664661</xdr:rowOff>
    </xdr:from>
    <xdr:to>
      <xdr:col>1</xdr:col>
      <xdr:colOff>2518993</xdr:colOff>
      <xdr:row>20</xdr:row>
      <xdr:rowOff>1931823</xdr:rowOff>
    </xdr:to>
    <xdr:sp macro="" textlink="">
      <xdr:nvSpPr>
        <xdr:cNvPr id="141" name="Text Box 255">
          <a:extLst>
            <a:ext uri="{FF2B5EF4-FFF2-40B4-BE49-F238E27FC236}">
              <a16:creationId xmlns:a16="http://schemas.microsoft.com/office/drawing/2014/main" id="{00000000-0008-0000-0600-00008D000000}"/>
            </a:ext>
          </a:extLst>
        </xdr:cNvPr>
        <xdr:cNvSpPr txBox="1">
          <a:spLocks noChangeArrowheads="1"/>
        </xdr:cNvSpPr>
      </xdr:nvSpPr>
      <xdr:spPr bwMode="auto">
        <a:xfrm>
          <a:off x="2833071" y="31791266"/>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1857169</xdr:colOff>
      <xdr:row>20</xdr:row>
      <xdr:rowOff>1942790</xdr:rowOff>
    </xdr:from>
    <xdr:to>
      <xdr:col>1</xdr:col>
      <xdr:colOff>2250662</xdr:colOff>
      <xdr:row>20</xdr:row>
      <xdr:rowOff>2209952</xdr:rowOff>
    </xdr:to>
    <xdr:sp macro="" textlink="">
      <xdr:nvSpPr>
        <xdr:cNvPr id="143" name="Text Box 255">
          <a:extLst>
            <a:ext uri="{FF2B5EF4-FFF2-40B4-BE49-F238E27FC236}">
              <a16:creationId xmlns:a16="http://schemas.microsoft.com/office/drawing/2014/main" id="{00000000-0008-0000-0600-00008F000000}"/>
            </a:ext>
          </a:extLst>
        </xdr:cNvPr>
        <xdr:cNvSpPr txBox="1">
          <a:spLocks noChangeArrowheads="1"/>
        </xdr:cNvSpPr>
      </xdr:nvSpPr>
      <xdr:spPr bwMode="auto">
        <a:xfrm>
          <a:off x="2560930" y="32077015"/>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HF</a:t>
          </a:r>
        </a:p>
      </xdr:txBody>
    </xdr:sp>
    <xdr:clientData/>
  </xdr:twoCellAnchor>
  <xdr:twoCellAnchor editAs="absolute">
    <xdr:from>
      <xdr:col>1</xdr:col>
      <xdr:colOff>2129520</xdr:colOff>
      <xdr:row>11</xdr:row>
      <xdr:rowOff>1628682</xdr:rowOff>
    </xdr:from>
    <xdr:to>
      <xdr:col>1</xdr:col>
      <xdr:colOff>2523013</xdr:colOff>
      <xdr:row>11</xdr:row>
      <xdr:rowOff>1895844</xdr:rowOff>
    </xdr:to>
    <xdr:sp macro="" textlink="">
      <xdr:nvSpPr>
        <xdr:cNvPr id="150" name="Text Box 255">
          <a:extLst>
            <a:ext uri="{FF2B5EF4-FFF2-40B4-BE49-F238E27FC236}">
              <a16:creationId xmlns:a16="http://schemas.microsoft.com/office/drawing/2014/main" id="{00000000-0008-0000-0600-000096000000}"/>
            </a:ext>
          </a:extLst>
        </xdr:cNvPr>
        <xdr:cNvSpPr txBox="1">
          <a:spLocks noChangeArrowheads="1"/>
        </xdr:cNvSpPr>
      </xdr:nvSpPr>
      <xdr:spPr bwMode="auto">
        <a:xfrm>
          <a:off x="2837091" y="15124341"/>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1603739</xdr:colOff>
      <xdr:row>11</xdr:row>
      <xdr:rowOff>1628682</xdr:rowOff>
    </xdr:from>
    <xdr:to>
      <xdr:col>1</xdr:col>
      <xdr:colOff>2008662</xdr:colOff>
      <xdr:row>11</xdr:row>
      <xdr:rowOff>1895844</xdr:rowOff>
    </xdr:to>
    <xdr:sp macro="" textlink="">
      <xdr:nvSpPr>
        <xdr:cNvPr id="151" name="Text Box 255">
          <a:extLst>
            <a:ext uri="{FF2B5EF4-FFF2-40B4-BE49-F238E27FC236}">
              <a16:creationId xmlns:a16="http://schemas.microsoft.com/office/drawing/2014/main" id="{00000000-0008-0000-0600-000097000000}"/>
            </a:ext>
          </a:extLst>
        </xdr:cNvPr>
        <xdr:cNvSpPr txBox="1">
          <a:spLocks noChangeArrowheads="1"/>
        </xdr:cNvSpPr>
      </xdr:nvSpPr>
      <xdr:spPr bwMode="auto">
        <a:xfrm>
          <a:off x="2313215" y="15124341"/>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1861189</xdr:colOff>
      <xdr:row>11</xdr:row>
      <xdr:rowOff>1908716</xdr:rowOff>
    </xdr:from>
    <xdr:to>
      <xdr:col>1</xdr:col>
      <xdr:colOff>2250872</xdr:colOff>
      <xdr:row>11</xdr:row>
      <xdr:rowOff>2175878</xdr:rowOff>
    </xdr:to>
    <xdr:sp macro="" textlink="">
      <xdr:nvSpPr>
        <xdr:cNvPr id="152" name="Text Box 255">
          <a:extLst>
            <a:ext uri="{FF2B5EF4-FFF2-40B4-BE49-F238E27FC236}">
              <a16:creationId xmlns:a16="http://schemas.microsoft.com/office/drawing/2014/main" id="{00000000-0008-0000-0600-000098000000}"/>
            </a:ext>
          </a:extLst>
        </xdr:cNvPr>
        <xdr:cNvSpPr txBox="1">
          <a:spLocks noChangeArrowheads="1"/>
        </xdr:cNvSpPr>
      </xdr:nvSpPr>
      <xdr:spPr bwMode="auto">
        <a:xfrm>
          <a:off x="2564950" y="15410090"/>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HF</a:t>
          </a:r>
        </a:p>
      </xdr:txBody>
    </xdr:sp>
    <xdr:clientData/>
  </xdr:twoCellAnchor>
  <xdr:twoCellAnchor editAs="absolute">
    <xdr:from>
      <xdr:col>1</xdr:col>
      <xdr:colOff>2126524</xdr:colOff>
      <xdr:row>7</xdr:row>
      <xdr:rowOff>1641470</xdr:rowOff>
    </xdr:from>
    <xdr:to>
      <xdr:col>1</xdr:col>
      <xdr:colOff>2518112</xdr:colOff>
      <xdr:row>7</xdr:row>
      <xdr:rowOff>1908632</xdr:rowOff>
    </xdr:to>
    <xdr:sp macro="" textlink="">
      <xdr:nvSpPr>
        <xdr:cNvPr id="158" name="Text Box 255">
          <a:extLst>
            <a:ext uri="{FF2B5EF4-FFF2-40B4-BE49-F238E27FC236}">
              <a16:creationId xmlns:a16="http://schemas.microsoft.com/office/drawing/2014/main" id="{00000000-0008-0000-0600-00009E000000}"/>
            </a:ext>
          </a:extLst>
        </xdr:cNvPr>
        <xdr:cNvSpPr txBox="1">
          <a:spLocks noChangeArrowheads="1"/>
        </xdr:cNvSpPr>
      </xdr:nvSpPr>
      <xdr:spPr bwMode="auto">
        <a:xfrm>
          <a:off x="2830285" y="6912427"/>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absolute">
    <xdr:from>
      <xdr:col>1</xdr:col>
      <xdr:colOff>2121627</xdr:colOff>
      <xdr:row>16</xdr:row>
      <xdr:rowOff>1684364</xdr:rowOff>
    </xdr:from>
    <xdr:to>
      <xdr:col>1</xdr:col>
      <xdr:colOff>2513215</xdr:colOff>
      <xdr:row>16</xdr:row>
      <xdr:rowOff>1951526</xdr:rowOff>
    </xdr:to>
    <xdr:sp macro="" textlink="">
      <xdr:nvSpPr>
        <xdr:cNvPr id="161" name="Text Box 255">
          <a:extLst>
            <a:ext uri="{FF2B5EF4-FFF2-40B4-BE49-F238E27FC236}">
              <a16:creationId xmlns:a16="http://schemas.microsoft.com/office/drawing/2014/main" id="{00000000-0008-0000-0600-0000A1000000}"/>
            </a:ext>
          </a:extLst>
        </xdr:cNvPr>
        <xdr:cNvSpPr txBox="1">
          <a:spLocks noChangeArrowheads="1"/>
        </xdr:cNvSpPr>
      </xdr:nvSpPr>
      <xdr:spPr bwMode="auto">
        <a:xfrm>
          <a:off x="2823483" y="23587984"/>
          <a:ext cx="397303" cy="26716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COMP</a:t>
          </a:r>
        </a:p>
      </xdr:txBody>
    </xdr:sp>
    <xdr:clientData/>
  </xdr:twoCellAnchor>
  <xdr:twoCellAnchor>
    <xdr:from>
      <xdr:col>1</xdr:col>
      <xdr:colOff>1850570</xdr:colOff>
      <xdr:row>11</xdr:row>
      <xdr:rowOff>1285875</xdr:rowOff>
    </xdr:from>
    <xdr:to>
      <xdr:col>1</xdr:col>
      <xdr:colOff>2195349</xdr:colOff>
      <xdr:row>11</xdr:row>
      <xdr:rowOff>1544092</xdr:rowOff>
    </xdr:to>
    <xdr:sp macro="" textlink="">
      <xdr:nvSpPr>
        <xdr:cNvPr id="163" name="Text Box 225">
          <a:extLst>
            <a:ext uri="{FF2B5EF4-FFF2-40B4-BE49-F238E27FC236}">
              <a16:creationId xmlns:a16="http://schemas.microsoft.com/office/drawing/2014/main" id="{00000000-0008-0000-0600-0000A3000000}"/>
            </a:ext>
          </a:extLst>
        </xdr:cNvPr>
        <xdr:cNvSpPr txBox="1">
          <a:spLocks noChangeArrowheads="1"/>
        </xdr:cNvSpPr>
      </xdr:nvSpPr>
      <xdr:spPr bwMode="auto">
        <a:xfrm>
          <a:off x="2558141" y="14702518"/>
          <a:ext cx="344779" cy="25821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R</a:t>
          </a:r>
          <a:r>
            <a:rPr lang="en-US" sz="700" b="0" i="0" strike="noStrike" baseline="-25000">
              <a:solidFill>
                <a:srgbClr val="000000"/>
              </a:solidFill>
              <a:latin typeface="Arial" pitchFamily="34" charset="0"/>
              <a:cs typeface="Arial" pitchFamily="34" charset="0"/>
            </a:rPr>
            <a:t>FB</a:t>
          </a:r>
        </a:p>
      </xdr:txBody>
    </xdr:sp>
    <xdr:clientData/>
  </xdr:twoCellAnchor>
  <xdr:twoCellAnchor editAs="absolute">
    <xdr:from>
      <xdr:col>1</xdr:col>
      <xdr:colOff>1947765</xdr:colOff>
      <xdr:row>6</xdr:row>
      <xdr:rowOff>307971</xdr:rowOff>
    </xdr:from>
    <xdr:to>
      <xdr:col>1</xdr:col>
      <xdr:colOff>2352688</xdr:colOff>
      <xdr:row>7</xdr:row>
      <xdr:rowOff>217349</xdr:rowOff>
    </xdr:to>
    <xdr:sp macro="" textlink="">
      <xdr:nvSpPr>
        <xdr:cNvPr id="164" name="Text Box 255">
          <a:extLst>
            <a:ext uri="{FF2B5EF4-FFF2-40B4-BE49-F238E27FC236}">
              <a16:creationId xmlns:a16="http://schemas.microsoft.com/office/drawing/2014/main" id="{00000000-0008-0000-0600-0000A4000000}"/>
            </a:ext>
          </a:extLst>
        </xdr:cNvPr>
        <xdr:cNvSpPr txBox="1">
          <a:spLocks noChangeArrowheads="1"/>
        </xdr:cNvSpPr>
      </xdr:nvSpPr>
      <xdr:spPr bwMode="auto">
        <a:xfrm>
          <a:off x="2659146" y="5143500"/>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1945826</xdr:colOff>
      <xdr:row>10</xdr:row>
      <xdr:rowOff>26849</xdr:rowOff>
    </xdr:from>
    <xdr:to>
      <xdr:col>1</xdr:col>
      <xdr:colOff>2350749</xdr:colOff>
      <xdr:row>11</xdr:row>
      <xdr:rowOff>189319</xdr:rowOff>
    </xdr:to>
    <xdr:sp macro="" textlink="">
      <xdr:nvSpPr>
        <xdr:cNvPr id="166" name="Text Box 255">
          <a:extLst>
            <a:ext uri="{FF2B5EF4-FFF2-40B4-BE49-F238E27FC236}">
              <a16:creationId xmlns:a16="http://schemas.microsoft.com/office/drawing/2014/main" id="{00000000-0008-0000-0600-0000A6000000}"/>
            </a:ext>
          </a:extLst>
        </xdr:cNvPr>
        <xdr:cNvSpPr txBox="1">
          <a:spLocks noChangeArrowheads="1"/>
        </xdr:cNvSpPr>
      </xdr:nvSpPr>
      <xdr:spPr bwMode="auto">
        <a:xfrm>
          <a:off x="2653397" y="13355412"/>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1893344</xdr:colOff>
      <xdr:row>15</xdr:row>
      <xdr:rowOff>107884</xdr:rowOff>
    </xdr:from>
    <xdr:to>
      <xdr:col>1</xdr:col>
      <xdr:colOff>2283027</xdr:colOff>
      <xdr:row>16</xdr:row>
      <xdr:rowOff>254570</xdr:rowOff>
    </xdr:to>
    <xdr:sp macro="" textlink="">
      <xdr:nvSpPr>
        <xdr:cNvPr id="167" name="Text Box 255">
          <a:extLst>
            <a:ext uri="{FF2B5EF4-FFF2-40B4-BE49-F238E27FC236}">
              <a16:creationId xmlns:a16="http://schemas.microsoft.com/office/drawing/2014/main" id="{00000000-0008-0000-0600-0000A7000000}"/>
            </a:ext>
          </a:extLst>
        </xdr:cNvPr>
        <xdr:cNvSpPr txBox="1">
          <a:spLocks noChangeArrowheads="1"/>
        </xdr:cNvSpPr>
      </xdr:nvSpPr>
      <xdr:spPr bwMode="auto">
        <a:xfrm>
          <a:off x="2593295" y="21813384"/>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1873976</xdr:colOff>
      <xdr:row>19</xdr:row>
      <xdr:rowOff>80439</xdr:rowOff>
    </xdr:from>
    <xdr:to>
      <xdr:col>1</xdr:col>
      <xdr:colOff>2278899</xdr:colOff>
      <xdr:row>20</xdr:row>
      <xdr:rowOff>220320</xdr:rowOff>
    </xdr:to>
    <xdr:sp macro="" textlink="">
      <xdr:nvSpPr>
        <xdr:cNvPr id="168" name="Text Box 255">
          <a:extLst>
            <a:ext uri="{FF2B5EF4-FFF2-40B4-BE49-F238E27FC236}">
              <a16:creationId xmlns:a16="http://schemas.microsoft.com/office/drawing/2014/main" id="{00000000-0008-0000-0600-0000A8000000}"/>
            </a:ext>
          </a:extLst>
        </xdr:cNvPr>
        <xdr:cNvSpPr txBox="1">
          <a:spLocks noChangeArrowheads="1"/>
        </xdr:cNvSpPr>
      </xdr:nvSpPr>
      <xdr:spPr bwMode="auto">
        <a:xfrm>
          <a:off x="2585357" y="30017359"/>
          <a:ext cx="397303" cy="333376"/>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700" b="0" i="0" strike="noStrike">
              <a:solidFill>
                <a:srgbClr val="000000"/>
              </a:solidFill>
              <a:latin typeface="Arial" pitchFamily="34" charset="0"/>
              <a:cs typeface="Arial" pitchFamily="34" charset="0"/>
            </a:rPr>
            <a:t>L</a:t>
          </a:r>
          <a:r>
            <a:rPr lang="en-US" sz="700" b="0" i="0" strike="noStrike" baseline="-25000">
              <a:solidFill>
                <a:srgbClr val="000000"/>
              </a:solidFill>
              <a:latin typeface="Arial" pitchFamily="34" charset="0"/>
              <a:cs typeface="Arial" pitchFamily="34" charset="0"/>
            </a:rPr>
            <a:t>IN</a:t>
          </a:r>
        </a:p>
      </xdr:txBody>
    </xdr:sp>
    <xdr:clientData/>
  </xdr:twoCellAnchor>
  <xdr:twoCellAnchor editAs="absolute">
    <xdr:from>
      <xdr:col>1</xdr:col>
      <xdr:colOff>1603737</xdr:colOff>
      <xdr:row>20</xdr:row>
      <xdr:rowOff>1679279</xdr:rowOff>
    </xdr:from>
    <xdr:to>
      <xdr:col>1</xdr:col>
      <xdr:colOff>2008660</xdr:colOff>
      <xdr:row>20</xdr:row>
      <xdr:rowOff>1946441</xdr:rowOff>
    </xdr:to>
    <xdr:sp macro="" textlink="">
      <xdr:nvSpPr>
        <xdr:cNvPr id="169" name="Text Box 255">
          <a:extLst>
            <a:ext uri="{FF2B5EF4-FFF2-40B4-BE49-F238E27FC236}">
              <a16:creationId xmlns:a16="http://schemas.microsoft.com/office/drawing/2014/main" id="{00000000-0008-0000-0600-0000A9000000}"/>
            </a:ext>
          </a:extLst>
        </xdr:cNvPr>
        <xdr:cNvSpPr txBox="1">
          <a:spLocks noChangeArrowheads="1"/>
        </xdr:cNvSpPr>
      </xdr:nvSpPr>
      <xdr:spPr bwMode="auto">
        <a:xfrm>
          <a:off x="2313213" y="31813504"/>
          <a:ext cx="397303" cy="267162"/>
        </a:xfrm>
        <a:prstGeom prst="rect">
          <a:avLst/>
        </a:prstGeom>
        <a:noFill/>
        <a:ln w="9525">
          <a:noFill/>
          <a:miter lim="800000"/>
          <a:headEnd/>
          <a:tailEnd/>
        </a:ln>
      </xdr:spPr>
      <xdr:txBody>
        <a:bodyPr vertOverflow="clip" wrap="square" lIns="27432" tIns="27432" rIns="0" bIns="0" anchor="ctr" upright="1"/>
        <a:lstStyle/>
        <a:p>
          <a:pPr algn="ctr" rtl="0">
            <a:spcAft>
              <a:spcPts val="600"/>
            </a:spcAft>
            <a:defRPr sz="1000"/>
          </a:pPr>
          <a:r>
            <a:rPr lang="en-US" sz="700" b="0" i="0" strike="noStrike">
              <a:solidFill>
                <a:srgbClr val="000000"/>
              </a:solidFill>
              <a:latin typeface="Arial" pitchFamily="34" charset="0"/>
              <a:cs typeface="Arial" pitchFamily="34" charset="0"/>
            </a:rPr>
            <a:t>C</a:t>
          </a:r>
          <a:r>
            <a:rPr lang="en-US" sz="700" b="0" i="0" strike="noStrike" baseline="-25000">
              <a:solidFill>
                <a:srgbClr val="000000"/>
              </a:solidFill>
              <a:latin typeface="Arial" pitchFamily="34" charset="0"/>
              <a:cs typeface="Arial" pitchFamily="34" charset="0"/>
            </a:rPr>
            <a:t>COMP</a:t>
          </a:r>
        </a:p>
      </xdr:txBody>
    </xdr:sp>
    <xdr:clientData/>
  </xdr:twoCellAnchor>
  <xdr:twoCellAnchor editAs="oneCell">
    <xdr:from>
      <xdr:col>1</xdr:col>
      <xdr:colOff>0</xdr:colOff>
      <xdr:row>18</xdr:row>
      <xdr:rowOff>0</xdr:rowOff>
    </xdr:from>
    <xdr:to>
      <xdr:col>1</xdr:col>
      <xdr:colOff>6812280</xdr:colOff>
      <xdr:row>18</xdr:row>
      <xdr:rowOff>3940516</xdr:rowOff>
    </xdr:to>
    <xdr:pic>
      <xdr:nvPicPr>
        <xdr:cNvPr id="165" name="Picture 164">
          <a:extLst>
            <a:ext uri="{FF2B5EF4-FFF2-40B4-BE49-F238E27FC236}">
              <a16:creationId xmlns:a16="http://schemas.microsoft.com/office/drawing/2014/main" id="{00000000-0008-0000-0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571" y="26005971"/>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xdr:row>
      <xdr:rowOff>0</xdr:rowOff>
    </xdr:from>
    <xdr:to>
      <xdr:col>1</xdr:col>
      <xdr:colOff>6812280</xdr:colOff>
      <xdr:row>14</xdr:row>
      <xdr:rowOff>10773</xdr:rowOff>
    </xdr:to>
    <xdr:pic>
      <xdr:nvPicPr>
        <xdr:cNvPr id="170" name="Picture 169">
          <a:extLst>
            <a:ext uri="{FF2B5EF4-FFF2-40B4-BE49-F238E27FC236}">
              <a16:creationId xmlns:a16="http://schemas.microsoft.com/office/drawing/2014/main" id="{00000000-0008-0000-0600-0000A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7571" y="17645743"/>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xdr:row>
      <xdr:rowOff>0</xdr:rowOff>
    </xdr:from>
    <xdr:to>
      <xdr:col>1</xdr:col>
      <xdr:colOff>6812280</xdr:colOff>
      <xdr:row>9</xdr:row>
      <xdr:rowOff>3940516</xdr:rowOff>
    </xdr:to>
    <xdr:pic>
      <xdr:nvPicPr>
        <xdr:cNvPr id="171" name="Picture 170">
          <a:extLst>
            <a:ext uri="{FF2B5EF4-FFF2-40B4-BE49-F238E27FC236}">
              <a16:creationId xmlns:a16="http://schemas.microsoft.com/office/drawing/2014/main" id="{00000000-0008-0000-0600-0000A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7571" y="9405257"/>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xdr:row>
      <xdr:rowOff>0</xdr:rowOff>
    </xdr:from>
    <xdr:to>
      <xdr:col>1</xdr:col>
      <xdr:colOff>6812280</xdr:colOff>
      <xdr:row>4</xdr:row>
      <xdr:rowOff>3940516</xdr:rowOff>
    </xdr:to>
    <xdr:pic>
      <xdr:nvPicPr>
        <xdr:cNvPr id="172" name="Picture 171">
          <a:extLst>
            <a:ext uri="{FF2B5EF4-FFF2-40B4-BE49-F238E27FC236}">
              <a16:creationId xmlns:a16="http://schemas.microsoft.com/office/drawing/2014/main" id="{00000000-0008-0000-0600-0000A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07571" y="740229"/>
          <a:ext cx="6812280" cy="39405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8</xdr:col>
      <xdr:colOff>569071</xdr:colOff>
      <xdr:row>17</xdr:row>
      <xdr:rowOff>102345</xdr:rowOff>
    </xdr:from>
    <xdr:to>
      <xdr:col>21</xdr:col>
      <xdr:colOff>976592</xdr:colOff>
      <xdr:row>46</xdr:row>
      <xdr:rowOff>45196</xdr:rowOff>
    </xdr:to>
    <xdr:graphicFrame macro="">
      <xdr:nvGraphicFramePr>
        <xdr:cNvPr id="2" name="Chart 1029">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579743</xdr:colOff>
      <xdr:row>17</xdr:row>
      <xdr:rowOff>114617</xdr:rowOff>
    </xdr:from>
    <xdr:to>
      <xdr:col>21</xdr:col>
      <xdr:colOff>987264</xdr:colOff>
      <xdr:row>46</xdr:row>
      <xdr:rowOff>63872</xdr:rowOff>
    </xdr:to>
    <xdr:graphicFrame macro="">
      <xdr:nvGraphicFramePr>
        <xdr:cNvPr id="3" name="Chart 1029">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19050</xdr:colOff>
      <xdr:row>4</xdr:row>
      <xdr:rowOff>38100</xdr:rowOff>
    </xdr:from>
    <xdr:to>
      <xdr:col>1</xdr:col>
      <xdr:colOff>8614410</xdr:colOff>
      <xdr:row>4</xdr:row>
      <xdr:rowOff>5158740</xdr:rowOff>
    </xdr:to>
    <xdr:graphicFrame macro="">
      <xdr:nvGraphicFramePr>
        <xdr:cNvPr id="163" name="Chart 12">
          <a:extLst>
            <a:ext uri="{FF2B5EF4-FFF2-40B4-BE49-F238E27FC236}">
              <a16:creationId xmlns:a16="http://schemas.microsoft.com/office/drawing/2014/main" id="{00000000-0008-0000-08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19050</xdr:colOff>
      <xdr:row>7</xdr:row>
      <xdr:rowOff>47625</xdr:rowOff>
    </xdr:from>
    <xdr:to>
      <xdr:col>1</xdr:col>
      <xdr:colOff>8614410</xdr:colOff>
      <xdr:row>7</xdr:row>
      <xdr:rowOff>5168265</xdr:rowOff>
    </xdr:to>
    <xdr:graphicFrame macro="">
      <xdr:nvGraphicFramePr>
        <xdr:cNvPr id="164" name="Chart 12">
          <a:extLst>
            <a:ext uri="{FF2B5EF4-FFF2-40B4-BE49-F238E27FC236}">
              <a16:creationId xmlns:a16="http://schemas.microsoft.com/office/drawing/2014/main" id="{00000000-0008-0000-08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0.08469</cdr:x>
      <cdr:y>0.61907</cdr:y>
    </cdr:from>
    <cdr:to>
      <cdr:x>0.9187</cdr:x>
      <cdr:y>0.62078</cdr:y>
    </cdr:to>
    <cdr:sp macro="" textlink="">
      <cdr:nvSpPr>
        <cdr:cNvPr id="8195" name="Line 3"/>
        <cdr:cNvSpPr>
          <a:spLocks xmlns:a="http://schemas.openxmlformats.org/drawingml/2006/main" noChangeShapeType="1"/>
        </cdr:cNvSpPr>
      </cdr:nvSpPr>
      <cdr:spPr bwMode="auto">
        <a:xfrm xmlns:a="http://schemas.openxmlformats.org/drawingml/2006/main">
          <a:off x="766339" y="3331338"/>
          <a:ext cx="7546748" cy="920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0.92497</cdr:x>
      <cdr:y>0.41585</cdr:y>
    </cdr:from>
    <cdr:to>
      <cdr:x>0.9716</cdr:x>
      <cdr:y>0.47175</cdr:y>
    </cdr:to>
    <cdr:sp macro="" textlink="'Variable Management'!$B$425">
      <cdr:nvSpPr>
        <cdr:cNvPr id="3" name="Text Box 24"/>
        <cdr:cNvSpPr txBox="1">
          <a:spLocks xmlns:a="http://schemas.openxmlformats.org/drawingml/2006/main" noChangeArrowheads="1" noTextEdit="1"/>
        </cdr:cNvSpPr>
      </cdr:nvSpPr>
      <cdr:spPr bwMode="auto">
        <a:xfrm xmlns:a="http://schemas.openxmlformats.org/drawingml/2006/main">
          <a:off x="8369846" y="2237779"/>
          <a:ext cx="421943" cy="30080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50°</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31</xdr:col>
      <xdr:colOff>238125</xdr:colOff>
      <xdr:row>46</xdr:row>
      <xdr:rowOff>95250</xdr:rowOff>
    </xdr:from>
    <xdr:to>
      <xdr:col>42</xdr:col>
      <xdr:colOff>200025</xdr:colOff>
      <xdr:row>75</xdr:row>
      <xdr:rowOff>114300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209550</xdr:colOff>
      <xdr:row>9</xdr:row>
      <xdr:rowOff>123825</xdr:rowOff>
    </xdr:from>
    <xdr:to>
      <xdr:col>41</xdr:col>
      <xdr:colOff>152400</xdr:colOff>
      <xdr:row>38</xdr:row>
      <xdr:rowOff>152400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200025</xdr:colOff>
      <xdr:row>9</xdr:row>
      <xdr:rowOff>117232</xdr:rowOff>
    </xdr:from>
    <xdr:to>
      <xdr:col>29</xdr:col>
      <xdr:colOff>632312</xdr:colOff>
      <xdr:row>38</xdr:row>
      <xdr:rowOff>145807</xdr:rowOff>
    </xdr:to>
    <xdr:graphicFrame macro="">
      <xdr:nvGraphicFramePr>
        <xdr:cNvPr id="4" name="Chart 4">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628650</xdr:colOff>
      <xdr:row>2</xdr:row>
      <xdr:rowOff>152400</xdr:rowOff>
    </xdr:from>
    <xdr:to>
      <xdr:col>13</xdr:col>
      <xdr:colOff>336218</xdr:colOff>
      <xdr:row>4</xdr:row>
      <xdr:rowOff>57150</xdr:rowOff>
    </xdr:to>
    <xdr:sp macro="" textlink="'Variable Management'!$B$428">
      <xdr:nvSpPr>
        <xdr:cNvPr id="5" name="Text Box 24">
          <a:extLst>
            <a:ext uri="{FF2B5EF4-FFF2-40B4-BE49-F238E27FC236}">
              <a16:creationId xmlns:a16="http://schemas.microsoft.com/office/drawing/2014/main" id="{00000000-0008-0000-0900-000005000000}"/>
            </a:ext>
          </a:extLst>
        </xdr:cNvPr>
        <xdr:cNvSpPr txBox="1">
          <a:spLocks noChangeArrowheads="1" noTextEdit="1"/>
        </xdr:cNvSpPr>
      </xdr:nvSpPr>
      <xdr:spPr bwMode="auto">
        <a:xfrm>
          <a:off x="12392025" y="47625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F0AFB1C-0795-4024-9821-D34D86340D40}" type="TxLink">
            <a:rPr lang="en-US" sz="1000" b="0" i="0" u="none" strike="noStrike" baseline="0">
              <a:solidFill>
                <a:srgbClr val="000000"/>
              </a:solidFill>
              <a:latin typeface="Arial"/>
              <a:cs typeface="Arial"/>
            </a:rPr>
            <a:pPr algn="l" rtl="0">
              <a:defRPr sz="1000"/>
            </a:pPr>
            <a:t>88.8%</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30480</xdr:colOff>
      <xdr:row>1</xdr:row>
      <xdr:rowOff>95250</xdr:rowOff>
    </xdr:from>
    <xdr:to>
      <xdr:col>12</xdr:col>
      <xdr:colOff>452423</xdr:colOff>
      <xdr:row>3</xdr:row>
      <xdr:rowOff>0</xdr:rowOff>
    </xdr:to>
    <xdr:sp macro="" textlink="'Variable Management'!$B$429">
      <xdr:nvSpPr>
        <xdr:cNvPr id="6" name="Text Box 24">
          <a:extLst>
            <a:ext uri="{FF2B5EF4-FFF2-40B4-BE49-F238E27FC236}">
              <a16:creationId xmlns:a16="http://schemas.microsoft.com/office/drawing/2014/main" id="{00000000-0008-0000-0900-000006000000}"/>
            </a:ext>
          </a:extLst>
        </xdr:cNvPr>
        <xdr:cNvSpPr txBox="1">
          <a:spLocks noChangeArrowheads="1" noTextEdit="1"/>
        </xdr:cNvSpPr>
      </xdr:nvSpPr>
      <xdr:spPr bwMode="auto">
        <a:xfrm>
          <a:off x="11793855" y="25717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17D4567B-D519-4FF8-A1F3-102CF08055AD}" type="TxLink">
            <a:rPr lang="en-US" sz="1000" b="0" i="0" u="none" strike="noStrike" baseline="0">
              <a:solidFill>
                <a:srgbClr val="000000"/>
              </a:solidFill>
              <a:latin typeface="Arial"/>
              <a:cs typeface="Arial"/>
            </a:rPr>
            <a:pPr algn="l" rtl="0">
              <a:defRPr sz="1000"/>
            </a:pPr>
            <a:t>84.2%</a:t>
          </a:fld>
          <a:endParaRPr lang="en-US" sz="900" b="1" i="0" u="none" strike="noStrike" baseline="0">
            <a:solidFill>
              <a:srgbClr val="000000"/>
            </a:solidFill>
            <a:latin typeface="Arial" pitchFamily="34" charset="0"/>
            <a:cs typeface="Arial"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4</xdr:row>
      <xdr:rowOff>12700</xdr:rowOff>
    </xdr:from>
    <xdr:to>
      <xdr:col>1</xdr:col>
      <xdr:colOff>8124825</xdr:colOff>
      <xdr:row>4</xdr:row>
      <xdr:rowOff>5165725</xdr:rowOff>
    </xdr:to>
    <xdr:graphicFrame macro="">
      <xdr:nvGraphicFramePr>
        <xdr:cNvPr id="8" name="Chart 25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6</xdr:row>
      <xdr:rowOff>0</xdr:rowOff>
    </xdr:from>
    <xdr:to>
      <xdr:col>1</xdr:col>
      <xdr:colOff>8124825</xdr:colOff>
      <xdr:row>6</xdr:row>
      <xdr:rowOff>5153025</xdr:rowOff>
    </xdr:to>
    <xdr:graphicFrame macro="">
      <xdr:nvGraphicFramePr>
        <xdr:cNvPr id="6" name="Chart 253">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www.ti.com/pol" TargetMode="External"/><Relationship Id="rId16" Type="http://schemas.openxmlformats.org/officeDocument/2006/relationships/ctrlProp" Target="../ctrlProps/ctrlProp10.xml"/><Relationship Id="rId1" Type="http://schemas.openxmlformats.org/officeDocument/2006/relationships/hyperlink" Target="http://www.ti.com/product/lm5175" TargetMode="External"/><Relationship Id="rId6" Type="http://schemas.openxmlformats.org/officeDocument/2006/relationships/vmlDrawing" Target="../drawings/vmlDrawing2.vml"/><Relationship Id="rId11" Type="http://schemas.openxmlformats.org/officeDocument/2006/relationships/ctrlProp" Target="../ctrlProps/ctrlProp5.xml"/><Relationship Id="rId5" Type="http://schemas.openxmlformats.org/officeDocument/2006/relationships/vmlDrawing" Target="../drawings/vmlDrawing1.v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8" Type="http://schemas.openxmlformats.org/officeDocument/2006/relationships/package" Target="../embeddings/Microsoft_Visio_Drawing.vsdx"/><Relationship Id="rId3" Type="http://schemas.openxmlformats.org/officeDocument/2006/relationships/printerSettings" Target="../printerSettings/printerSettings2.bin"/><Relationship Id="rId7" Type="http://schemas.openxmlformats.org/officeDocument/2006/relationships/image" Target="../media/image11.emf"/><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oleObject" Target="../embeddings/Microsoft_Visio_2003-2010_Drawing.vsd"/><Relationship Id="rId5" Type="http://schemas.openxmlformats.org/officeDocument/2006/relationships/vmlDrawing" Target="../drawings/vmlDrawing3.vml"/><Relationship Id="rId10" Type="http://schemas.openxmlformats.org/officeDocument/2006/relationships/comments" Target="../comments2.xml"/><Relationship Id="rId4" Type="http://schemas.openxmlformats.org/officeDocument/2006/relationships/drawing" Target="../drawings/drawing2.xml"/><Relationship Id="rId9" Type="http://schemas.openxmlformats.org/officeDocument/2006/relationships/image" Target="../media/image12.emf"/></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ti.com/pol" TargetMode="External"/><Relationship Id="rId1" Type="http://schemas.openxmlformats.org/officeDocument/2006/relationships/hyperlink" Target="http://www.ti.com/product/lm5175" TargetMode="External"/><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package" Target="../embeddings/Microsoft_Visio_Drawing3.vsdx"/><Relationship Id="rId13" Type="http://schemas.openxmlformats.org/officeDocument/2006/relationships/image" Target="../media/image21.emf"/><Relationship Id="rId3" Type="http://schemas.openxmlformats.org/officeDocument/2006/relationships/vmlDrawing" Target="../drawings/vmlDrawing6.vml"/><Relationship Id="rId7" Type="http://schemas.openxmlformats.org/officeDocument/2006/relationships/image" Target="../media/image18.emf"/><Relationship Id="rId12" Type="http://schemas.openxmlformats.org/officeDocument/2006/relationships/package" Target="../embeddings/Microsoft_Visio_Drawing5.vsdx"/><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package" Target="../embeddings/Microsoft_Visio_Drawing2.vsdx"/><Relationship Id="rId11" Type="http://schemas.openxmlformats.org/officeDocument/2006/relationships/image" Target="../media/image20.emf"/><Relationship Id="rId5" Type="http://schemas.openxmlformats.org/officeDocument/2006/relationships/image" Target="../media/image17.emf"/><Relationship Id="rId15" Type="http://schemas.openxmlformats.org/officeDocument/2006/relationships/image" Target="../media/image22.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19.emf"/><Relationship Id="rId14" Type="http://schemas.openxmlformats.org/officeDocument/2006/relationships/package" Target="../embeddings/Microsoft_Visio_Drawing6.vsdx"/></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H454"/>
  <sheetViews>
    <sheetView tabSelected="1" topLeftCell="A19" zoomScaleNormal="100" zoomScaleSheetLayoutView="100" workbookViewId="0">
      <selection activeCell="E42" sqref="E42"/>
    </sheetView>
  </sheetViews>
  <sheetFormatPr defaultColWidth="9.08984375" defaultRowHeight="13" x14ac:dyDescent="0.3"/>
  <cols>
    <col min="1" max="1" width="8.36328125" style="187" customWidth="1"/>
    <col min="2" max="2" width="8.36328125" style="79" customWidth="1"/>
    <col min="3" max="3" width="13.54296875" style="79" customWidth="1"/>
    <col min="4" max="4" width="8.36328125" style="79" customWidth="1"/>
    <col min="5" max="5" width="8.54296875" style="79" customWidth="1"/>
    <col min="6" max="6" width="7.54296875" style="79" customWidth="1"/>
    <col min="7" max="7" width="14" style="79" customWidth="1"/>
    <col min="8" max="8" width="6.54296875" style="79" customWidth="1"/>
    <col min="9" max="9" width="6.6328125" style="79" customWidth="1"/>
    <col min="10" max="10" width="7.54296875" style="79" customWidth="1"/>
    <col min="11" max="11" width="12.453125" style="79" bestFit="1" customWidth="1"/>
    <col min="12" max="14" width="9.08984375" style="79"/>
    <col min="15" max="15" width="10.08984375" style="79" customWidth="1"/>
    <col min="16" max="16" width="89" style="79" customWidth="1"/>
    <col min="17" max="17" width="3.08984375" style="79" customWidth="1"/>
    <col min="18" max="18" width="10" style="79" bestFit="1" customWidth="1"/>
    <col min="19" max="16384" width="9.08984375" style="79"/>
  </cols>
  <sheetData>
    <row r="1" spans="1:17" ht="47.25" customHeight="1" x14ac:dyDescent="0.3">
      <c r="A1" s="787" t="s">
        <v>919</v>
      </c>
      <c r="B1" s="788"/>
      <c r="C1" s="788"/>
      <c r="D1" s="788"/>
      <c r="E1" s="788"/>
      <c r="F1" s="788"/>
      <c r="G1" s="788"/>
      <c r="H1" s="788"/>
      <c r="I1" s="788"/>
      <c r="J1" s="788"/>
      <c r="K1" s="788"/>
      <c r="L1" s="788"/>
      <c r="M1" s="788"/>
      <c r="N1" s="788"/>
      <c r="O1" s="788"/>
      <c r="P1" s="788"/>
      <c r="Q1" s="484"/>
    </row>
    <row r="2" spans="1:17" ht="14.15" customHeight="1" x14ac:dyDescent="0.65">
      <c r="A2" s="487"/>
      <c r="B2" s="488"/>
      <c r="C2" s="488"/>
      <c r="D2" s="488"/>
      <c r="E2" s="488"/>
      <c r="F2" s="488"/>
      <c r="G2" s="488"/>
      <c r="H2" s="488"/>
      <c r="I2" s="488"/>
      <c r="J2" s="488"/>
      <c r="K2" s="488"/>
      <c r="L2" s="488"/>
      <c r="M2" s="488"/>
      <c r="N2" s="502" t="s">
        <v>585</v>
      </c>
      <c r="O2" s="488"/>
      <c r="P2" s="488"/>
      <c r="Q2" s="484"/>
    </row>
    <row r="3" spans="1:17" ht="16.25" customHeight="1" x14ac:dyDescent="0.65">
      <c r="A3" s="489" t="s">
        <v>232</v>
      </c>
      <c r="B3" s="490"/>
      <c r="C3" s="501" t="s">
        <v>233</v>
      </c>
      <c r="D3" s="491"/>
      <c r="E3" s="119"/>
      <c r="F3" s="495" t="s">
        <v>145</v>
      </c>
      <c r="G3" s="496"/>
      <c r="H3" s="488"/>
      <c r="I3" s="496"/>
      <c r="J3" s="497"/>
      <c r="K3" s="498"/>
      <c r="L3" s="484"/>
      <c r="M3" s="484"/>
      <c r="N3" s="786" t="s">
        <v>51</v>
      </c>
      <c r="O3" s="786"/>
      <c r="P3" s="484" t="s">
        <v>165</v>
      </c>
      <c r="Q3" s="484"/>
    </row>
    <row r="4" spans="1:17" ht="13.5" customHeight="1" thickBot="1" x14ac:dyDescent="0.5">
      <c r="A4" s="492"/>
      <c r="B4" s="493"/>
      <c r="C4" s="494"/>
      <c r="D4" s="494"/>
      <c r="E4" s="494"/>
      <c r="F4" s="494"/>
      <c r="G4" s="494"/>
      <c r="H4" s="494"/>
      <c r="I4" s="494"/>
      <c r="J4" s="494"/>
      <c r="K4" s="494"/>
      <c r="L4" s="499"/>
      <c r="M4" s="499"/>
      <c r="N4" s="499"/>
      <c r="O4" s="499"/>
      <c r="P4" s="500"/>
      <c r="Q4" s="484"/>
    </row>
    <row r="5" spans="1:17" ht="20.149999999999999" customHeight="1" thickBot="1" x14ac:dyDescent="0.5">
      <c r="A5" s="182" t="s">
        <v>222</v>
      </c>
      <c r="B5" s="118"/>
      <c r="C5" s="80"/>
      <c r="D5" s="80"/>
      <c r="E5" s="82"/>
      <c r="F5" s="80"/>
      <c r="G5" s="107"/>
      <c r="H5" s="83"/>
      <c r="I5" s="83"/>
      <c r="J5" s="83"/>
      <c r="K5" s="83"/>
      <c r="L5" s="83"/>
      <c r="M5" s="83"/>
      <c r="N5" s="83"/>
      <c r="O5" s="83"/>
      <c r="P5" s="106"/>
      <c r="Q5" s="484"/>
    </row>
    <row r="6" spans="1:17" ht="15.75" customHeight="1" x14ac:dyDescent="0.3">
      <c r="A6" s="261"/>
      <c r="B6" s="613"/>
      <c r="C6" s="614"/>
      <c r="D6" s="615" t="s">
        <v>690</v>
      </c>
      <c r="E6" s="616">
        <v>5</v>
      </c>
      <c r="F6" s="617" t="s">
        <v>0</v>
      </c>
      <c r="G6" s="129"/>
      <c r="H6" s="127"/>
      <c r="I6" s="83"/>
      <c r="J6" s="83"/>
      <c r="K6" s="83"/>
      <c r="L6" s="83"/>
      <c r="M6" s="83"/>
      <c r="N6" s="83"/>
      <c r="O6" s="83"/>
      <c r="P6" s="106"/>
      <c r="Q6" s="484"/>
    </row>
    <row r="7" spans="1:17" ht="13.5" customHeight="1" x14ac:dyDescent="0.3">
      <c r="A7" s="254"/>
      <c r="B7" s="253"/>
      <c r="C7" s="255"/>
      <c r="D7" s="265" t="s">
        <v>691</v>
      </c>
      <c r="E7" s="266">
        <v>6.6</v>
      </c>
      <c r="F7" s="278" t="s">
        <v>0</v>
      </c>
      <c r="G7" s="129"/>
      <c r="H7" s="127"/>
      <c r="I7" s="83"/>
      <c r="J7" s="83"/>
      <c r="K7" s="83"/>
      <c r="L7" s="83"/>
      <c r="M7" s="83"/>
      <c r="N7" s="83"/>
      <c r="O7" s="83"/>
      <c r="P7" s="106"/>
      <c r="Q7" s="484"/>
    </row>
    <row r="8" spans="1:17" ht="13.5" customHeight="1" x14ac:dyDescent="0.3">
      <c r="A8" s="254"/>
      <c r="B8" s="253"/>
      <c r="C8" s="255"/>
      <c r="D8" s="265" t="s">
        <v>692</v>
      </c>
      <c r="E8" s="266">
        <v>7.4</v>
      </c>
      <c r="F8" s="267" t="s">
        <v>0</v>
      </c>
      <c r="G8" s="129"/>
      <c r="H8" s="127"/>
      <c r="I8" s="83"/>
      <c r="J8" s="83"/>
      <c r="K8" s="83"/>
      <c r="L8" s="83"/>
      <c r="M8" s="83"/>
      <c r="N8" s="83"/>
      <c r="O8" s="83"/>
      <c r="P8" s="106"/>
      <c r="Q8" s="484"/>
    </row>
    <row r="9" spans="1:17" ht="13.5" customHeight="1" x14ac:dyDescent="0.3">
      <c r="A9" s="254"/>
      <c r="B9" s="253"/>
      <c r="C9" s="255"/>
      <c r="D9" s="265" t="s">
        <v>699</v>
      </c>
      <c r="E9" s="266">
        <v>3.3</v>
      </c>
      <c r="F9" s="267" t="s">
        <v>0</v>
      </c>
      <c r="G9" s="129"/>
      <c r="H9" s="127"/>
      <c r="I9" s="83"/>
      <c r="J9" s="83"/>
      <c r="K9" s="83"/>
      <c r="L9" s="83"/>
      <c r="M9" s="83"/>
      <c r="N9" s="83"/>
      <c r="O9" s="83"/>
      <c r="P9" s="106"/>
      <c r="Q9" s="484"/>
    </row>
    <row r="10" spans="1:17" ht="13.5" customHeight="1" x14ac:dyDescent="0.3">
      <c r="A10" s="254"/>
      <c r="B10" s="253"/>
      <c r="C10" s="255"/>
      <c r="D10" s="265" t="s">
        <v>700</v>
      </c>
      <c r="E10" s="266">
        <v>1.5</v>
      </c>
      <c r="F10" s="267" t="s">
        <v>1</v>
      </c>
      <c r="G10" s="610"/>
      <c r="H10" s="112"/>
      <c r="I10" s="590"/>
      <c r="J10" s="590"/>
      <c r="K10" s="83"/>
      <c r="L10" s="83"/>
      <c r="M10" s="83"/>
      <c r="N10" s="83"/>
      <c r="O10" s="83"/>
      <c r="P10" s="106"/>
      <c r="Q10" s="484"/>
    </row>
    <row r="11" spans="1:17" ht="13.5" customHeight="1" x14ac:dyDescent="0.3">
      <c r="A11" s="254"/>
      <c r="B11" s="253"/>
      <c r="C11" s="255"/>
      <c r="D11" s="265" t="s">
        <v>693</v>
      </c>
      <c r="E11" s="268">
        <v>405.68</v>
      </c>
      <c r="F11" s="267" t="s">
        <v>2</v>
      </c>
      <c r="G11" s="606"/>
      <c r="H11" s="134"/>
      <c r="I11" s="112"/>
      <c r="J11" s="112"/>
      <c r="K11" s="83"/>
      <c r="L11" s="83"/>
      <c r="M11" s="83"/>
      <c r="N11" s="83"/>
      <c r="O11" s="83"/>
      <c r="P11" s="106"/>
      <c r="Q11" s="484"/>
    </row>
    <row r="12" spans="1:17" ht="13.5" customHeight="1" x14ac:dyDescent="0.3">
      <c r="A12" s="572"/>
      <c r="B12" s="253"/>
      <c r="C12" s="255"/>
      <c r="D12" s="255" t="s">
        <v>273</v>
      </c>
      <c r="E12" s="255">
        <f>'Variable Management'!C443</f>
        <v>53.6</v>
      </c>
      <c r="F12" s="257" t="s">
        <v>50</v>
      </c>
      <c r="G12" s="606"/>
      <c r="H12" s="134"/>
      <c r="I12" s="112"/>
      <c r="J12" s="112"/>
      <c r="K12" s="83"/>
      <c r="L12" s="83"/>
      <c r="M12" s="83"/>
      <c r="N12" s="83"/>
      <c r="O12" s="83"/>
      <c r="P12" s="106"/>
      <c r="Q12" s="484"/>
    </row>
    <row r="13" spans="1:17" ht="17.25" customHeight="1" thickBot="1" x14ac:dyDescent="0.35">
      <c r="A13" s="259"/>
      <c r="B13" s="543"/>
      <c r="C13" s="272"/>
      <c r="D13" s="574" t="s">
        <v>689</v>
      </c>
      <c r="E13" s="587">
        <v>25</v>
      </c>
      <c r="F13" s="573" t="s">
        <v>223</v>
      </c>
      <c r="G13" s="606"/>
      <c r="H13" s="134"/>
      <c r="I13" s="112"/>
      <c r="J13" s="112"/>
      <c r="K13" s="83"/>
      <c r="L13" s="83"/>
      <c r="M13" s="83"/>
      <c r="N13" s="83"/>
      <c r="O13" s="83"/>
      <c r="P13" s="106"/>
      <c r="Q13" s="484"/>
    </row>
    <row r="14" spans="1:17" ht="17.25" customHeight="1" x14ac:dyDescent="0.3">
      <c r="A14" s="572"/>
      <c r="B14" s="253"/>
      <c r="C14" s="255"/>
      <c r="D14" s="589"/>
      <c r="E14" s="589"/>
      <c r="F14" s="590"/>
      <c r="G14" s="606"/>
      <c r="H14" s="134"/>
      <c r="I14" s="112"/>
      <c r="J14" s="112"/>
      <c r="K14" s="83"/>
      <c r="L14" s="83"/>
      <c r="M14" s="83"/>
      <c r="N14" s="83"/>
      <c r="O14" s="83"/>
      <c r="P14" s="106"/>
      <c r="Q14" s="484"/>
    </row>
    <row r="15" spans="1:17" ht="20.149999999999999" customHeight="1" thickBot="1" x14ac:dyDescent="0.4">
      <c r="A15" s="182" t="s">
        <v>755</v>
      </c>
      <c r="B15" s="131"/>
      <c r="C15" s="127"/>
      <c r="D15" s="127"/>
      <c r="E15" s="127"/>
      <c r="F15" s="127"/>
      <c r="G15" s="606"/>
      <c r="H15" s="134"/>
      <c r="I15" s="112"/>
      <c r="J15" s="112"/>
      <c r="K15" s="83"/>
      <c r="L15" s="83"/>
      <c r="M15" s="83"/>
      <c r="N15" s="83"/>
      <c r="O15" s="83"/>
      <c r="P15" s="106"/>
      <c r="Q15" s="484"/>
    </row>
    <row r="16" spans="1:17" ht="15" customHeight="1" x14ac:dyDescent="0.4">
      <c r="A16" s="261"/>
      <c r="B16" s="153"/>
      <c r="C16" s="153"/>
      <c r="D16" s="155" t="s">
        <v>609</v>
      </c>
      <c r="E16" s="293">
        <v>0.5</v>
      </c>
      <c r="F16" s="156" t="s">
        <v>1</v>
      </c>
      <c r="G16" s="610"/>
      <c r="H16" s="134"/>
      <c r="I16" s="581"/>
      <c r="J16" s="581"/>
      <c r="K16" s="83"/>
      <c r="L16" s="83"/>
      <c r="M16" s="83"/>
      <c r="N16" s="83"/>
      <c r="O16" s="83"/>
      <c r="P16" s="106"/>
      <c r="Q16" s="484"/>
    </row>
    <row r="17" spans="1:17" ht="15" customHeight="1" x14ac:dyDescent="0.3">
      <c r="A17" s="254"/>
      <c r="B17" s="127"/>
      <c r="C17" s="127"/>
      <c r="D17" s="124" t="s">
        <v>949</v>
      </c>
      <c r="E17" s="295">
        <f>Rs_ideal*1000</f>
        <v>74.88534581828219</v>
      </c>
      <c r="F17" s="162" t="s">
        <v>49</v>
      </c>
      <c r="G17" s="606"/>
      <c r="H17" s="134"/>
      <c r="I17" s="536"/>
      <c r="J17" s="134"/>
      <c r="K17" s="83"/>
      <c r="L17" s="83"/>
      <c r="M17" s="83"/>
      <c r="N17" s="83"/>
      <c r="O17" s="83"/>
      <c r="P17" s="106"/>
      <c r="Q17" s="484"/>
    </row>
    <row r="18" spans="1:17" ht="14" customHeight="1" x14ac:dyDescent="0.4">
      <c r="A18" s="254"/>
      <c r="B18" s="127"/>
      <c r="C18" s="127"/>
      <c r="D18" s="152" t="s">
        <v>948</v>
      </c>
      <c r="E18" s="128">
        <v>25</v>
      </c>
      <c r="F18" s="157" t="s">
        <v>49</v>
      </c>
      <c r="G18" s="606"/>
      <c r="H18" s="134"/>
      <c r="I18" s="581"/>
      <c r="J18" s="581"/>
      <c r="K18" s="83"/>
      <c r="L18" s="83"/>
      <c r="M18" s="83"/>
      <c r="N18" s="83"/>
      <c r="O18" s="83"/>
      <c r="P18" s="106"/>
      <c r="Q18" s="484"/>
    </row>
    <row r="19" spans="1:17" ht="13.5" customHeight="1" x14ac:dyDescent="0.4">
      <c r="A19" s="254"/>
      <c r="B19" s="127"/>
      <c r="C19" s="127"/>
      <c r="D19" s="513" t="s">
        <v>639</v>
      </c>
      <c r="E19" s="536">
        <f>'Variable Management'!B95</f>
        <v>2.4</v>
      </c>
      <c r="F19" s="162" t="s">
        <v>1</v>
      </c>
      <c r="G19" s="606"/>
      <c r="H19" s="134"/>
      <c r="I19" s="536"/>
      <c r="J19" s="134"/>
      <c r="K19" s="83"/>
      <c r="L19" s="83"/>
      <c r="M19" s="83"/>
      <c r="N19" s="83"/>
      <c r="O19" s="83"/>
      <c r="P19" s="106"/>
      <c r="Q19" s="484"/>
    </row>
    <row r="20" spans="1:17" ht="14" customHeight="1" x14ac:dyDescent="0.3">
      <c r="A20" s="254"/>
      <c r="B20" s="127"/>
      <c r="C20" s="127"/>
      <c r="D20" s="513" t="s">
        <v>950</v>
      </c>
      <c r="E20" s="514">
        <f>'Variable Management'!B105</f>
        <v>0.12085791765119257</v>
      </c>
      <c r="F20" s="162" t="s">
        <v>116</v>
      </c>
      <c r="G20" s="606"/>
      <c r="H20" s="134"/>
      <c r="I20" s="514"/>
      <c r="J20" s="134"/>
      <c r="K20" s="83"/>
      <c r="L20" s="83"/>
      <c r="M20" s="83"/>
      <c r="N20" s="83"/>
      <c r="O20" s="83"/>
      <c r="P20" s="106"/>
      <c r="Q20" s="484"/>
    </row>
    <row r="21" spans="1:17" ht="14" customHeight="1" x14ac:dyDescent="0.4">
      <c r="A21" s="254"/>
      <c r="B21" s="127"/>
      <c r="C21" s="112"/>
      <c r="D21" s="294" t="s">
        <v>274</v>
      </c>
      <c r="E21" s="256">
        <f>'Variable Management'!B97</f>
        <v>2.1955367528000651</v>
      </c>
      <c r="F21" s="257" t="s">
        <v>1</v>
      </c>
      <c r="G21" s="606"/>
      <c r="H21" s="134"/>
      <c r="I21" s="603"/>
      <c r="J21" s="601"/>
      <c r="K21" s="83"/>
      <c r="L21" s="83"/>
      <c r="M21" s="83"/>
      <c r="N21" s="83"/>
      <c r="O21" s="83"/>
      <c r="P21" s="106"/>
      <c r="Q21" s="484"/>
    </row>
    <row r="22" spans="1:17" ht="14" customHeight="1" x14ac:dyDescent="0.4">
      <c r="A22" s="254"/>
      <c r="B22" s="127"/>
      <c r="C22" s="124" t="s">
        <v>501</v>
      </c>
      <c r="D22" s="294" t="s">
        <v>275</v>
      </c>
      <c r="E22" s="256">
        <f>'Variable Management'!B98</f>
        <v>2.0987751496054137</v>
      </c>
      <c r="F22" s="257" t="s">
        <v>1</v>
      </c>
      <c r="G22" s="606"/>
      <c r="H22" s="607"/>
      <c r="I22" s="603"/>
      <c r="J22" s="601"/>
      <c r="K22" s="83"/>
      <c r="L22" s="83"/>
      <c r="M22" s="83"/>
      <c r="N22" s="83"/>
      <c r="O22" s="83"/>
      <c r="P22" s="106"/>
      <c r="Q22" s="484"/>
    </row>
    <row r="23" spans="1:17" ht="13.5" customHeight="1" thickBot="1" x14ac:dyDescent="0.45">
      <c r="A23" s="273"/>
      <c r="B23" s="174"/>
      <c r="C23" s="174"/>
      <c r="D23" s="544" t="s">
        <v>276</v>
      </c>
      <c r="E23" s="545">
        <f>'Variable Management'!B99</f>
        <v>2.0660063041537793</v>
      </c>
      <c r="F23" s="275" t="s">
        <v>1</v>
      </c>
      <c r="G23" s="610"/>
      <c r="H23" s="134"/>
      <c r="I23" s="603"/>
      <c r="J23" s="601"/>
      <c r="K23" s="83"/>
      <c r="L23" s="83"/>
      <c r="M23" s="83"/>
      <c r="N23" s="83"/>
      <c r="O23" s="83"/>
      <c r="P23" s="106"/>
      <c r="Q23" s="484"/>
    </row>
    <row r="24" spans="1:17" ht="17.25" customHeight="1" x14ac:dyDescent="0.3">
      <c r="A24" s="572"/>
      <c r="B24" s="253"/>
      <c r="C24" s="255"/>
      <c r="D24" s="589"/>
      <c r="E24" s="589"/>
      <c r="F24" s="590"/>
      <c r="G24" s="606"/>
      <c r="H24" s="134"/>
      <c r="I24" s="112"/>
      <c r="J24" s="112"/>
      <c r="K24" s="83"/>
      <c r="L24" s="83"/>
      <c r="M24" s="83"/>
      <c r="N24" s="83"/>
      <c r="O24" s="83"/>
      <c r="P24" s="106"/>
      <c r="Q24" s="484"/>
    </row>
    <row r="25" spans="1:17" ht="19.5" customHeight="1" thickBot="1" x14ac:dyDescent="0.4">
      <c r="A25" s="182" t="s">
        <v>754</v>
      </c>
      <c r="B25" s="131"/>
      <c r="C25" s="132"/>
      <c r="D25" s="132"/>
      <c r="E25" s="133"/>
      <c r="F25" s="132"/>
      <c r="G25" s="606"/>
      <c r="H25" s="134"/>
      <c r="I25" s="112"/>
      <c r="J25" s="112"/>
      <c r="K25" s="83"/>
      <c r="L25" s="83"/>
      <c r="M25" s="83"/>
      <c r="N25" s="83"/>
      <c r="O25" s="83"/>
      <c r="P25" s="106"/>
      <c r="Q25" s="484"/>
    </row>
    <row r="26" spans="1:17" ht="13.5" customHeight="1" x14ac:dyDescent="0.3">
      <c r="A26" s="183"/>
      <c r="B26" s="153"/>
      <c r="C26" s="154"/>
      <c r="D26" s="154" t="s">
        <v>946</v>
      </c>
      <c r="E26" s="541">
        <f>Lopt*1000000</f>
        <v>8.9508035195991571</v>
      </c>
      <c r="F26" s="161" t="s">
        <v>214</v>
      </c>
      <c r="G26" s="610"/>
      <c r="H26" s="134"/>
      <c r="I26" s="612"/>
      <c r="J26" s="134"/>
      <c r="K26" s="83"/>
      <c r="L26" s="83"/>
      <c r="M26" s="83"/>
      <c r="N26" s="83"/>
      <c r="O26" s="83"/>
      <c r="P26" s="106"/>
      <c r="Q26" s="484"/>
    </row>
    <row r="27" spans="1:17" ht="13.5" customHeight="1" x14ac:dyDescent="0.4">
      <c r="A27" s="126"/>
      <c r="B27" s="127"/>
      <c r="C27" s="124"/>
      <c r="D27" s="152" t="s">
        <v>748</v>
      </c>
      <c r="E27" s="128">
        <v>6.8</v>
      </c>
      <c r="F27" s="157" t="s">
        <v>214</v>
      </c>
      <c r="G27" s="606"/>
      <c r="H27" s="607"/>
      <c r="I27" s="581"/>
      <c r="J27" s="581"/>
      <c r="K27" s="83"/>
      <c r="L27" s="83"/>
      <c r="M27" s="83"/>
      <c r="N27" s="83"/>
      <c r="O27" s="83"/>
      <c r="P27" s="106"/>
      <c r="Q27" s="484"/>
    </row>
    <row r="28" spans="1:17" ht="13.5" customHeight="1" x14ac:dyDescent="0.3">
      <c r="A28" s="126"/>
      <c r="B28" s="127"/>
      <c r="C28" s="124"/>
      <c r="D28" s="152" t="s">
        <v>740</v>
      </c>
      <c r="E28" s="128">
        <v>3.5</v>
      </c>
      <c r="F28" s="157" t="s">
        <v>49</v>
      </c>
      <c r="G28" s="606"/>
      <c r="H28" s="607"/>
      <c r="I28" s="581"/>
      <c r="J28" s="581"/>
      <c r="K28" s="83"/>
      <c r="L28" s="83"/>
      <c r="M28" s="83"/>
      <c r="N28" s="83"/>
      <c r="O28" s="83"/>
      <c r="P28" s="106"/>
      <c r="Q28" s="484"/>
    </row>
    <row r="29" spans="1:17" ht="13.5" customHeight="1" x14ac:dyDescent="0.3">
      <c r="A29" s="583"/>
      <c r="B29" s="127"/>
      <c r="C29" s="124"/>
      <c r="D29" s="255" t="s">
        <v>295</v>
      </c>
      <c r="E29" s="258">
        <f>'Variable Management'!B68*100</f>
        <v>40.163313385944832</v>
      </c>
      <c r="F29" s="257" t="s">
        <v>153</v>
      </c>
      <c r="G29" s="606"/>
      <c r="H29" s="607"/>
      <c r="I29" s="581"/>
      <c r="J29" s="581"/>
      <c r="K29" s="83"/>
      <c r="L29" s="83"/>
      <c r="M29" s="83"/>
      <c r="N29" s="83"/>
      <c r="O29" s="83"/>
      <c r="P29" s="106"/>
      <c r="Q29" s="484"/>
    </row>
    <row r="30" spans="1:17" ht="16.5" customHeight="1" thickBot="1" x14ac:dyDescent="0.35">
      <c r="A30" s="273"/>
      <c r="B30" s="274"/>
      <c r="C30" s="272"/>
      <c r="D30" s="767" t="s">
        <v>947</v>
      </c>
      <c r="E30" s="781">
        <v>0.2</v>
      </c>
      <c r="F30" s="779" t="s">
        <v>116</v>
      </c>
      <c r="G30" s="610"/>
      <c r="H30" s="134"/>
      <c r="I30" s="602"/>
      <c r="J30" s="601"/>
      <c r="K30" s="83"/>
      <c r="L30" s="83"/>
      <c r="M30" s="83"/>
      <c r="N30" s="83"/>
      <c r="O30" s="83"/>
      <c r="P30" s="106"/>
      <c r="Q30" s="484"/>
    </row>
    <row r="31" spans="1:17" ht="14.15" customHeight="1" x14ac:dyDescent="0.3">
      <c r="A31" s="126"/>
      <c r="B31" s="127"/>
      <c r="C31" s="134"/>
      <c r="D31" s="134"/>
      <c r="E31" s="134"/>
      <c r="F31" s="134"/>
      <c r="G31" s="134"/>
      <c r="H31" s="134"/>
      <c r="I31" s="112"/>
      <c r="J31" s="112"/>
      <c r="K31" s="83"/>
      <c r="L31" s="83"/>
      <c r="M31" s="83"/>
      <c r="N31" s="83"/>
      <c r="O31" s="83"/>
      <c r="P31" s="106"/>
      <c r="Q31" s="484"/>
    </row>
    <row r="32" spans="1:17" ht="18" thickBot="1" x14ac:dyDescent="0.4">
      <c r="A32" s="182" t="s">
        <v>587</v>
      </c>
      <c r="B32" s="131"/>
      <c r="C32" s="132"/>
      <c r="D32" s="132"/>
      <c r="E32" s="133"/>
      <c r="F32" s="132"/>
      <c r="G32" s="134"/>
      <c r="H32" s="134"/>
      <c r="I32" s="112"/>
      <c r="J32" s="112"/>
      <c r="K32" s="83"/>
      <c r="L32" s="83"/>
      <c r="M32" s="83"/>
      <c r="N32" s="83"/>
      <c r="O32" s="83"/>
      <c r="P32" s="106"/>
      <c r="Q32" s="484"/>
    </row>
    <row r="33" spans="1:17" ht="15.75" customHeight="1" x14ac:dyDescent="0.4">
      <c r="A33" s="172"/>
      <c r="B33" s="163"/>
      <c r="C33" s="154"/>
      <c r="D33" s="164" t="s">
        <v>741</v>
      </c>
      <c r="E33" s="165">
        <v>10</v>
      </c>
      <c r="F33" s="156" t="s">
        <v>920</v>
      </c>
      <c r="G33" s="582"/>
      <c r="H33" s="134"/>
      <c r="I33" s="633"/>
      <c r="J33" s="581"/>
      <c r="K33" s="83"/>
      <c r="L33" s="83"/>
      <c r="M33" s="83"/>
      <c r="N33" s="83"/>
      <c r="O33" s="83"/>
      <c r="P33" s="106"/>
      <c r="Q33" s="484"/>
    </row>
    <row r="34" spans="1:17" ht="14.15" customHeight="1" x14ac:dyDescent="0.3">
      <c r="A34" s="126"/>
      <c r="B34" s="127"/>
      <c r="C34" s="124"/>
      <c r="D34" s="124" t="s">
        <v>742</v>
      </c>
      <c r="E34" s="511">
        <f>'Variable Management'!B121</f>
        <v>18.562959130015422</v>
      </c>
      <c r="F34" s="162" t="s">
        <v>215</v>
      </c>
      <c r="G34" s="134"/>
      <c r="H34" s="134"/>
      <c r="I34" s="608"/>
      <c r="J34" s="134"/>
      <c r="K34" s="83"/>
      <c r="L34" s="83"/>
      <c r="M34" s="83"/>
      <c r="N34" s="83"/>
      <c r="O34" s="83"/>
      <c r="P34" s="106"/>
      <c r="Q34" s="484"/>
    </row>
    <row r="35" spans="1:17" ht="14.15" customHeight="1" x14ac:dyDescent="0.4">
      <c r="A35" s="126"/>
      <c r="B35" s="127"/>
      <c r="C35" s="124"/>
      <c r="D35" s="123" t="s">
        <v>758</v>
      </c>
      <c r="E35" s="130">
        <v>200</v>
      </c>
      <c r="F35" s="157" t="s">
        <v>215</v>
      </c>
      <c r="G35" s="606"/>
      <c r="H35" s="134"/>
      <c r="I35" s="633"/>
      <c r="J35" s="581"/>
      <c r="K35" s="791" t="str">
        <f>CHOOSE(SCH_MODE, "", "** For Single-Output Operation in 2-Phase Mode, tie MODE to VDDA and use FB1 to set VOUT **", "** For Single-Output Operation in 3-Phase Mode, tie both MODE pins to VDDA. Use FB1 of master IC to set VOUT. Connect FB2 of master IC to AGND. Connect FB2 of slave IC to VDDA to configure it as a slave **", "** For Single-Output Operation in 4-Phase Mode, tie both MODE pins to VDDA. Use FB1 of master IC to set VOUT. Connect FB2 of master IC to AGND. Connect FB2 of slave IC to VDDA to configure it as a slave **")</f>
        <v/>
      </c>
      <c r="L35" s="791"/>
      <c r="M35" s="791"/>
      <c r="N35" s="791"/>
      <c r="O35" s="791"/>
      <c r="P35" s="792"/>
      <c r="Q35" s="484"/>
    </row>
    <row r="36" spans="1:17" ht="14.15" customHeight="1" x14ac:dyDescent="0.3">
      <c r="A36" s="126"/>
      <c r="B36" s="127"/>
      <c r="C36" s="124"/>
      <c r="D36" s="124" t="s">
        <v>726</v>
      </c>
      <c r="E36" s="560">
        <f>'Variable Management'!B125</f>
        <v>16.527245162380495</v>
      </c>
      <c r="F36" s="162" t="s">
        <v>49</v>
      </c>
      <c r="G36" s="606"/>
      <c r="H36" s="134"/>
      <c r="I36" s="144"/>
      <c r="J36" s="134"/>
      <c r="K36" s="791"/>
      <c r="L36" s="791"/>
      <c r="M36" s="791"/>
      <c r="N36" s="791"/>
      <c r="O36" s="791"/>
      <c r="P36" s="792"/>
      <c r="Q36" s="484"/>
    </row>
    <row r="37" spans="1:17" ht="14.15" customHeight="1" x14ac:dyDescent="0.3">
      <c r="A37" s="126"/>
      <c r="B37" s="127"/>
      <c r="C37" s="124"/>
      <c r="D37" s="123" t="s">
        <v>466</v>
      </c>
      <c r="E37" s="130">
        <v>2</v>
      </c>
      <c r="F37" s="157" t="s">
        <v>49</v>
      </c>
      <c r="G37" s="606"/>
      <c r="H37" s="134"/>
      <c r="I37" s="633"/>
      <c r="J37" s="581"/>
      <c r="K37" s="586" t="str">
        <f>CHOOSE(SCH_MODE,  "", "** Tie VCCX to GND if not used **", "** Slave controller (CNTRL2) not shown **","** Slave controller (CNTRL2) not shown **")</f>
        <v/>
      </c>
      <c r="L37" s="132"/>
      <c r="M37" s="83"/>
      <c r="N37" s="83"/>
      <c r="O37" s="83"/>
      <c r="P37" s="661" t="str">
        <f>IF(SCH_MODE=1,  "** Tie VCCX to GND if not used **", "")</f>
        <v>** Tie VCCX to GND if not used **</v>
      </c>
      <c r="Q37" s="484"/>
    </row>
    <row r="38" spans="1:17" ht="14.15" customHeight="1" x14ac:dyDescent="0.4">
      <c r="A38" s="126"/>
      <c r="B38" s="127"/>
      <c r="C38" s="127"/>
      <c r="D38" s="124" t="s">
        <v>539</v>
      </c>
      <c r="E38" s="151">
        <f>'Variable Management'!B127*1000</f>
        <v>1.5209343171486436</v>
      </c>
      <c r="F38" s="162" t="s">
        <v>921</v>
      </c>
      <c r="G38" s="606"/>
      <c r="H38" s="134"/>
      <c r="I38" s="609"/>
      <c r="J38" s="134"/>
      <c r="K38" s="270" t="str">
        <f>IF(OR(SCH_MODE=3, SCH_MODE=4),"** Tie VCCX to GND if not used **", "")</f>
        <v/>
      </c>
      <c r="L38" s="112"/>
      <c r="M38" s="83"/>
      <c r="N38" s="83"/>
      <c r="O38" s="83"/>
      <c r="P38" s="106"/>
      <c r="Q38" s="484"/>
    </row>
    <row r="39" spans="1:17" ht="14.15" customHeight="1" thickBot="1" x14ac:dyDescent="0.45">
      <c r="A39" s="158"/>
      <c r="B39" s="159"/>
      <c r="C39" s="159"/>
      <c r="D39" s="125" t="s">
        <v>540</v>
      </c>
      <c r="E39" s="554">
        <f>'Variable Management'!B114</f>
        <v>0.19283135020445338</v>
      </c>
      <c r="F39" s="160" t="s">
        <v>922</v>
      </c>
      <c r="G39" s="611"/>
      <c r="H39" s="134"/>
      <c r="I39" s="514"/>
      <c r="J39" s="134"/>
      <c r="K39" s="112"/>
      <c r="L39" s="83"/>
      <c r="M39" s="83"/>
      <c r="N39" s="83"/>
      <c r="O39" s="83"/>
      <c r="P39" s="570"/>
      <c r="Q39" s="484"/>
    </row>
    <row r="40" spans="1:17" ht="13.5" customHeight="1" x14ac:dyDescent="0.3">
      <c r="A40" s="184"/>
      <c r="B40" s="134"/>
      <c r="C40" s="134"/>
      <c r="D40" s="134"/>
      <c r="E40" s="134"/>
      <c r="F40" s="134"/>
      <c r="G40" s="134"/>
      <c r="H40" s="127"/>
      <c r="I40" s="83"/>
      <c r="J40" s="83"/>
      <c r="K40" s="83"/>
      <c r="L40" s="112"/>
      <c r="M40" s="112"/>
      <c r="N40" s="112"/>
      <c r="O40" s="112"/>
      <c r="P40" s="106"/>
      <c r="Q40" s="484"/>
    </row>
    <row r="41" spans="1:17" ht="18" thickBot="1" x14ac:dyDescent="0.4">
      <c r="A41" s="182" t="s">
        <v>918</v>
      </c>
      <c r="B41" s="131"/>
      <c r="C41" s="132"/>
      <c r="D41" s="132"/>
      <c r="E41" s="127"/>
      <c r="F41" s="134"/>
      <c r="G41" s="134"/>
      <c r="H41" s="134"/>
      <c r="I41" s="83"/>
      <c r="J41" s="83"/>
      <c r="K41" s="108"/>
      <c r="L41" s="112"/>
      <c r="M41" s="112"/>
      <c r="N41" s="83"/>
      <c r="O41" s="83"/>
      <c r="P41" s="106"/>
      <c r="Q41" s="484"/>
    </row>
    <row r="42" spans="1:17" ht="14.15" customHeight="1" x14ac:dyDescent="0.4">
      <c r="A42" s="172"/>
      <c r="B42" s="163"/>
      <c r="C42" s="153"/>
      <c r="D42" s="155" t="s">
        <v>545</v>
      </c>
      <c r="E42" s="165">
        <v>400</v>
      </c>
      <c r="F42" s="156" t="s">
        <v>923</v>
      </c>
      <c r="G42" s="127"/>
      <c r="H42" s="127"/>
      <c r="I42" s="109"/>
      <c r="J42" s="83"/>
      <c r="K42" s="83"/>
      <c r="L42" s="83"/>
      <c r="M42" s="83"/>
      <c r="N42" s="83"/>
      <c r="O42" s="83"/>
      <c r="P42" s="106"/>
      <c r="Q42" s="484"/>
    </row>
    <row r="43" spans="1:17" ht="14.15" customHeight="1" x14ac:dyDescent="0.3">
      <c r="A43" s="135"/>
      <c r="B43" s="132"/>
      <c r="C43" s="127"/>
      <c r="D43" s="124" t="s">
        <v>546</v>
      </c>
      <c r="E43" s="560">
        <f>'Variable Management'!B148</f>
        <v>2.3109347268783278</v>
      </c>
      <c r="F43" s="162" t="s">
        <v>215</v>
      </c>
      <c r="G43" s="611"/>
      <c r="H43" s="134"/>
      <c r="I43" s="109"/>
      <c r="J43" s="83"/>
      <c r="K43" s="83"/>
      <c r="L43" s="265"/>
      <c r="M43" s="290"/>
      <c r="N43" s="83"/>
      <c r="O43" s="83"/>
      <c r="P43" s="106"/>
      <c r="Q43" s="484"/>
    </row>
    <row r="44" spans="1:17" ht="14.15" customHeight="1" x14ac:dyDescent="0.4">
      <c r="A44" s="126"/>
      <c r="B44" s="127"/>
      <c r="C44" s="132"/>
      <c r="D44" s="152" t="s">
        <v>759</v>
      </c>
      <c r="E44" s="128">
        <v>30</v>
      </c>
      <c r="F44" s="157" t="s">
        <v>215</v>
      </c>
      <c r="G44" s="127"/>
      <c r="H44" s="127"/>
      <c r="I44" s="109"/>
      <c r="J44" s="83"/>
      <c r="K44" s="83"/>
      <c r="L44" s="83"/>
      <c r="M44" s="83"/>
      <c r="N44" s="83"/>
      <c r="O44" s="83"/>
      <c r="P44" s="106"/>
      <c r="Q44" s="484"/>
    </row>
    <row r="45" spans="1:17" ht="14.15" customHeight="1" x14ac:dyDescent="0.3">
      <c r="A45" s="126"/>
      <c r="B45" s="127"/>
      <c r="C45" s="132"/>
      <c r="D45" s="124" t="s">
        <v>726</v>
      </c>
      <c r="E45" s="510">
        <f>'Variable Management'!B155</f>
        <v>201.30251145962055</v>
      </c>
      <c r="F45" s="162" t="s">
        <v>49</v>
      </c>
      <c r="G45" s="611"/>
      <c r="H45" s="127"/>
      <c r="I45" s="110"/>
      <c r="J45" s="83"/>
      <c r="K45" s="83"/>
      <c r="L45" s="83"/>
      <c r="M45" s="83"/>
      <c r="N45" s="83"/>
      <c r="O45" s="83"/>
      <c r="P45" s="106" t="s">
        <v>175</v>
      </c>
      <c r="Q45" s="484"/>
    </row>
    <row r="46" spans="1:17" ht="14.15" customHeight="1" x14ac:dyDescent="0.3">
      <c r="A46" s="126"/>
      <c r="B46" s="127"/>
      <c r="C46" s="132"/>
      <c r="D46" s="152" t="s">
        <v>464</v>
      </c>
      <c r="E46" s="128">
        <v>1</v>
      </c>
      <c r="F46" s="157" t="s">
        <v>49</v>
      </c>
      <c r="G46" s="127"/>
      <c r="H46" s="127"/>
      <c r="I46" s="110"/>
      <c r="J46" s="83"/>
      <c r="K46" s="83"/>
      <c r="L46" s="83"/>
      <c r="M46" s="83"/>
      <c r="N46" s="83"/>
      <c r="O46" s="83"/>
      <c r="P46" s="106"/>
      <c r="Q46" s="484"/>
    </row>
    <row r="47" spans="1:17" ht="14.15" customHeight="1" x14ac:dyDescent="0.3">
      <c r="A47" s="126"/>
      <c r="B47" s="127"/>
      <c r="C47" s="132"/>
      <c r="D47" s="255" t="s">
        <v>727</v>
      </c>
      <c r="E47" s="258">
        <f>'Variable Management'!B162*1000</f>
        <v>32.64645672089059</v>
      </c>
      <c r="F47" s="257" t="s">
        <v>921</v>
      </c>
      <c r="G47" s="611"/>
      <c r="H47" s="127"/>
      <c r="I47" s="110"/>
      <c r="J47" s="83"/>
      <c r="K47" s="83"/>
      <c r="L47" s="83"/>
      <c r="M47" s="83"/>
      <c r="N47" s="83"/>
      <c r="O47" s="83"/>
      <c r="P47" s="106"/>
      <c r="Q47" s="484"/>
    </row>
    <row r="48" spans="1:17" ht="15.75" customHeight="1" thickBot="1" x14ac:dyDescent="0.35">
      <c r="A48" s="693"/>
      <c r="B48" s="694"/>
      <c r="C48" s="694"/>
      <c r="D48" s="695" t="s">
        <v>541</v>
      </c>
      <c r="E48" s="772">
        <f>'Variable Management'!B138</f>
        <v>0.75</v>
      </c>
      <c r="F48" s="782" t="s">
        <v>922</v>
      </c>
      <c r="G48" s="611"/>
      <c r="H48" s="127"/>
      <c r="I48" s="110"/>
      <c r="J48" s="83"/>
      <c r="K48" s="83"/>
      <c r="L48" s="83"/>
      <c r="M48" s="83"/>
      <c r="N48" s="83"/>
      <c r="O48" s="83"/>
      <c r="P48" s="106"/>
      <c r="Q48" s="484"/>
    </row>
    <row r="49" spans="1:34" ht="15.75" customHeight="1" x14ac:dyDescent="0.3">
      <c r="A49" s="583"/>
      <c r="B49" s="127"/>
      <c r="C49" s="134"/>
      <c r="D49" s="152" t="s">
        <v>814</v>
      </c>
      <c r="E49" s="776">
        <v>0.68</v>
      </c>
      <c r="F49" s="700" t="s">
        <v>214</v>
      </c>
      <c r="G49" s="699"/>
      <c r="H49" s="127"/>
      <c r="I49" s="110"/>
      <c r="J49" s="83"/>
      <c r="K49" s="83"/>
      <c r="L49" s="83"/>
      <c r="M49" s="83"/>
      <c r="N49" s="83"/>
      <c r="O49" s="83"/>
      <c r="P49" s="106"/>
      <c r="Q49" s="484"/>
    </row>
    <row r="50" spans="1:34" ht="18" thickBot="1" x14ac:dyDescent="0.4">
      <c r="A50" s="182" t="s">
        <v>945</v>
      </c>
      <c r="B50" s="131"/>
      <c r="C50" s="127"/>
      <c r="D50" s="124"/>
      <c r="E50" s="127"/>
      <c r="F50" s="127"/>
      <c r="G50" s="127"/>
      <c r="H50" s="136"/>
      <c r="I50" s="112"/>
      <c r="J50" s="112"/>
      <c r="K50" s="112"/>
      <c r="L50" s="112"/>
      <c r="M50" s="83"/>
      <c r="N50" s="83"/>
      <c r="O50" s="83"/>
      <c r="P50" s="106"/>
      <c r="Q50" s="484"/>
    </row>
    <row r="51" spans="1:34" ht="14" customHeight="1" x14ac:dyDescent="0.3">
      <c r="A51" s="261"/>
      <c r="B51" s="262"/>
      <c r="C51" s="262"/>
      <c r="D51" s="269"/>
      <c r="E51" s="269"/>
      <c r="F51" s="264"/>
      <c r="G51" s="127"/>
      <c r="H51" s="134"/>
      <c r="I51" s="112"/>
      <c r="J51" s="112"/>
      <c r="K51" s="112"/>
      <c r="L51" s="112"/>
      <c r="M51" s="83"/>
      <c r="N51" s="83"/>
      <c r="O51" s="83"/>
      <c r="P51" s="106"/>
      <c r="Q51" s="484"/>
    </row>
    <row r="52" spans="1:34" ht="14" customHeight="1" x14ac:dyDescent="0.3">
      <c r="A52" s="254"/>
      <c r="B52" s="253"/>
      <c r="C52" s="253"/>
      <c r="D52" s="112"/>
      <c r="E52" s="112"/>
      <c r="F52" s="267"/>
      <c r="G52" s="127"/>
      <c r="H52" s="134"/>
      <c r="I52" s="112"/>
      <c r="J52" s="112"/>
      <c r="K52" s="112"/>
      <c r="L52" s="112"/>
      <c r="M52" s="83"/>
      <c r="N52" s="83"/>
      <c r="O52" s="83"/>
      <c r="P52" s="106"/>
      <c r="Q52" s="484"/>
    </row>
    <row r="53" spans="1:34" ht="14" customHeight="1" x14ac:dyDescent="0.3">
      <c r="A53" s="254"/>
      <c r="B53" s="253"/>
      <c r="C53" s="270"/>
      <c r="D53" s="271" t="s">
        <v>924</v>
      </c>
      <c r="E53" s="266">
        <v>22</v>
      </c>
      <c r="F53" s="267" t="s">
        <v>0</v>
      </c>
      <c r="G53" s="127"/>
      <c r="H53" s="134"/>
      <c r="I53" s="112"/>
      <c r="J53" s="112"/>
      <c r="K53" s="112"/>
      <c r="L53" s="112"/>
      <c r="M53" s="83"/>
      <c r="N53" s="83"/>
      <c r="O53" s="83"/>
      <c r="P53" s="106"/>
      <c r="Q53" s="484"/>
    </row>
    <row r="54" spans="1:34" ht="14" customHeight="1" x14ac:dyDescent="0.3">
      <c r="A54" s="254"/>
      <c r="B54" s="253"/>
      <c r="C54" s="253"/>
      <c r="D54" s="271" t="s">
        <v>925</v>
      </c>
      <c r="E54" s="266">
        <v>20</v>
      </c>
      <c r="F54" s="267" t="s">
        <v>0</v>
      </c>
      <c r="G54" s="127"/>
      <c r="H54" s="134"/>
      <c r="I54" s="112"/>
      <c r="J54" s="112"/>
      <c r="K54" s="112"/>
      <c r="L54" s="112"/>
      <c r="M54" s="83"/>
      <c r="N54" s="83"/>
      <c r="O54" s="83"/>
      <c r="P54" s="106"/>
      <c r="Q54" s="484"/>
    </row>
    <row r="55" spans="1:34" ht="15.75" customHeight="1" x14ac:dyDescent="0.4">
      <c r="A55" s="254"/>
      <c r="B55" s="253"/>
      <c r="C55" s="253"/>
      <c r="D55" s="607" t="s">
        <v>892</v>
      </c>
      <c r="E55" s="255">
        <f>IF(UVLO_TYPE=1,'Variable Management'!B188,0)</f>
        <v>200</v>
      </c>
      <c r="F55" s="257" t="s">
        <v>50</v>
      </c>
      <c r="G55" s="127"/>
      <c r="H55" s="127"/>
      <c r="I55" s="81"/>
      <c r="J55" s="122"/>
      <c r="K55" s="83"/>
      <c r="L55" s="112"/>
      <c r="M55" s="83"/>
      <c r="N55" s="83"/>
      <c r="O55" s="83"/>
      <c r="P55" s="106"/>
      <c r="Q55" s="484"/>
    </row>
    <row r="56" spans="1:34" ht="14" customHeight="1" x14ac:dyDescent="0.4">
      <c r="A56" s="254"/>
      <c r="B56" s="253"/>
      <c r="C56" s="253"/>
      <c r="D56" s="607" t="s">
        <v>893</v>
      </c>
      <c r="E56" s="511">
        <f>IF(UVLO_TYPE=1,'Variable Management'!B189,"DNP")</f>
        <v>9.5299999999999994</v>
      </c>
      <c r="F56" s="257" t="s">
        <v>50</v>
      </c>
      <c r="G56" s="127"/>
      <c r="H56" s="127"/>
      <c r="I56" s="81"/>
      <c r="J56" s="122"/>
      <c r="K56" s="83"/>
      <c r="L56" s="112"/>
      <c r="M56" s="83"/>
      <c r="N56" s="83"/>
      <c r="O56" s="83"/>
      <c r="P56" s="106"/>
      <c r="Q56" s="484"/>
    </row>
    <row r="57" spans="1:34" ht="15.75" customHeight="1" x14ac:dyDescent="0.4">
      <c r="A57" s="254"/>
      <c r="B57" s="253"/>
      <c r="C57" s="270"/>
      <c r="D57" s="607" t="s">
        <v>858</v>
      </c>
      <c r="E57" s="44" t="str">
        <f>IF(DITHER=1,"41.2","29.4")</f>
        <v>41.2</v>
      </c>
      <c r="F57" s="257" t="s">
        <v>50</v>
      </c>
      <c r="G57" s="127"/>
      <c r="H57" s="127"/>
      <c r="I57" s="81"/>
      <c r="J57" s="122"/>
      <c r="K57" s="83"/>
      <c r="L57" s="112"/>
      <c r="M57" s="83"/>
      <c r="N57" s="83"/>
      <c r="O57" s="83"/>
      <c r="P57" s="106"/>
      <c r="Q57" s="484"/>
    </row>
    <row r="58" spans="1:34" ht="15" customHeight="1" thickBot="1" x14ac:dyDescent="0.35">
      <c r="A58" s="273"/>
      <c r="B58" s="274"/>
      <c r="C58" s="274"/>
      <c r="D58" s="558" t="str">
        <f>IF(DEMB=1, "* Tie PFM to GND", "* Tie PFM to VDDA")</f>
        <v>* Tie PFM to GND</v>
      </c>
      <c r="E58" s="552"/>
      <c r="F58" s="275"/>
      <c r="G58" s="127"/>
      <c r="H58" s="127"/>
      <c r="I58" s="81"/>
      <c r="J58" s="122"/>
      <c r="K58" s="83"/>
      <c r="L58" s="112"/>
      <c r="M58" s="83"/>
      <c r="N58" s="83"/>
      <c r="O58" s="83"/>
      <c r="P58" s="106"/>
      <c r="Q58" s="484"/>
    </row>
    <row r="59" spans="1:34" ht="14.15" customHeight="1" x14ac:dyDescent="0.3">
      <c r="A59" s="126"/>
      <c r="B59" s="127"/>
      <c r="C59" s="127"/>
      <c r="D59" s="124"/>
      <c r="E59" s="137"/>
      <c r="F59" s="127"/>
      <c r="G59" s="127"/>
      <c r="H59" s="127"/>
      <c r="I59" s="81"/>
      <c r="J59" s="122"/>
      <c r="K59" s="83"/>
      <c r="L59" s="112"/>
      <c r="M59" s="83"/>
      <c r="N59" s="83"/>
      <c r="O59" s="83"/>
      <c r="P59" s="106"/>
      <c r="Q59" s="484"/>
    </row>
    <row r="60" spans="1:34" ht="19.5" customHeight="1" thickBot="1" x14ac:dyDescent="0.35">
      <c r="A60" s="182" t="s">
        <v>230</v>
      </c>
      <c r="B60" s="139"/>
      <c r="C60" s="132"/>
      <c r="D60" s="537"/>
      <c r="E60" s="133"/>
      <c r="F60" s="132"/>
      <c r="G60" s="127"/>
      <c r="H60" s="127"/>
      <c r="I60" s="83"/>
      <c r="J60" s="83"/>
      <c r="K60" s="83"/>
      <c r="L60" s="83"/>
      <c r="M60" s="83"/>
      <c r="N60" s="83"/>
      <c r="O60" s="83"/>
      <c r="P60" s="106"/>
      <c r="Q60" s="483"/>
      <c r="R60" s="54"/>
      <c r="S60" s="54"/>
      <c r="V60" s="54"/>
      <c r="W60" s="54"/>
      <c r="X60" s="54"/>
      <c r="AA60" s="54"/>
      <c r="AB60" s="54"/>
      <c r="AC60" s="54"/>
      <c r="AF60" s="54"/>
      <c r="AG60" s="54"/>
      <c r="AH60" s="54"/>
    </row>
    <row r="61" spans="1:34" ht="15" customHeight="1" x14ac:dyDescent="0.3">
      <c r="A61" s="261"/>
      <c r="B61" s="262"/>
      <c r="C61" s="263"/>
      <c r="D61" s="263" t="s">
        <v>738</v>
      </c>
      <c r="E61" s="356">
        <f>Fp_dominant</f>
        <v>469.49090856909527</v>
      </c>
      <c r="F61" s="276" t="s">
        <v>9</v>
      </c>
      <c r="G61" s="582"/>
      <c r="H61" s="134"/>
      <c r="I61" s="602"/>
      <c r="J61" s="601"/>
      <c r="K61" s="83"/>
      <c r="L61" s="83"/>
      <c r="M61" s="83"/>
      <c r="N61" s="83"/>
      <c r="O61" s="83"/>
      <c r="P61" s="106"/>
      <c r="Q61" s="483"/>
      <c r="R61" s="54"/>
      <c r="S61" s="54"/>
      <c r="V61" s="54"/>
      <c r="W61" s="54"/>
      <c r="X61" s="54"/>
      <c r="AA61" s="54"/>
      <c r="AB61" s="54"/>
      <c r="AC61" s="54"/>
      <c r="AF61" s="54"/>
      <c r="AG61" s="54"/>
      <c r="AH61" s="54"/>
    </row>
    <row r="62" spans="1:34" ht="15" customHeight="1" x14ac:dyDescent="0.3">
      <c r="A62" s="254"/>
      <c r="B62" s="253"/>
      <c r="C62" s="255"/>
      <c r="D62" s="255" t="s">
        <v>739</v>
      </c>
      <c r="E62" s="258">
        <f>Fesr/1000</f>
        <v>397.88735818439096</v>
      </c>
      <c r="F62" s="257" t="s">
        <v>2</v>
      </c>
      <c r="G62" s="134"/>
      <c r="H62" s="134"/>
      <c r="I62" s="602"/>
      <c r="J62" s="601"/>
      <c r="K62" s="83"/>
      <c r="L62" s="83"/>
      <c r="M62" s="83"/>
      <c r="N62" s="83"/>
      <c r="O62" s="83"/>
      <c r="P62" s="106"/>
      <c r="Q62" s="483"/>
      <c r="R62" s="54"/>
      <c r="S62" s="54"/>
      <c r="V62" s="54"/>
      <c r="W62" s="54"/>
      <c r="X62" s="54"/>
      <c r="AA62" s="54"/>
      <c r="AB62" s="54"/>
      <c r="AC62" s="54"/>
      <c r="AF62" s="54"/>
      <c r="AG62" s="54"/>
      <c r="AH62" s="54"/>
    </row>
    <row r="63" spans="1:34" ht="15" customHeight="1" x14ac:dyDescent="0.3">
      <c r="A63" s="254"/>
      <c r="B63" s="253"/>
      <c r="C63" s="255"/>
      <c r="D63" s="271" t="s">
        <v>395</v>
      </c>
      <c r="E63" s="277">
        <v>40</v>
      </c>
      <c r="F63" s="278" t="str">
        <f>"     kHz "</f>
        <v xml:space="preserve">     kHz </v>
      </c>
      <c r="G63" s="134"/>
      <c r="H63" s="134"/>
      <c r="I63" s="634"/>
      <c r="J63" s="604"/>
      <c r="K63" s="83"/>
      <c r="L63" s="83"/>
      <c r="M63" s="83"/>
      <c r="N63" s="83"/>
      <c r="O63" s="83"/>
      <c r="P63" s="106"/>
      <c r="Q63" s="483"/>
      <c r="R63" s="54"/>
      <c r="S63" s="54"/>
      <c r="V63" s="54"/>
      <c r="W63" s="54"/>
      <c r="X63" s="54"/>
      <c r="AA63" s="54"/>
      <c r="AB63" s="54"/>
      <c r="AC63" s="54"/>
      <c r="AF63" s="54"/>
      <c r="AG63" s="54"/>
      <c r="AH63" s="54"/>
    </row>
    <row r="64" spans="1:34" ht="15" customHeight="1" x14ac:dyDescent="0.3">
      <c r="A64" s="254"/>
      <c r="B64" s="253"/>
      <c r="C64" s="255"/>
      <c r="D64" s="255" t="s">
        <v>830</v>
      </c>
      <c r="E64" s="784">
        <f>Fp1_u</f>
        <v>3.0305329858129837</v>
      </c>
      <c r="F64" s="257" t="s">
        <v>9</v>
      </c>
      <c r="G64" s="134"/>
      <c r="H64" s="134"/>
      <c r="I64" s="603"/>
      <c r="J64" s="601"/>
      <c r="K64" s="83"/>
      <c r="L64" s="83"/>
      <c r="M64" s="83"/>
      <c r="N64" s="83"/>
      <c r="O64" s="83"/>
      <c r="P64" s="106"/>
      <c r="Q64" s="483"/>
      <c r="R64" s="54"/>
      <c r="S64" s="54"/>
      <c r="V64" s="54"/>
      <c r="W64" s="54"/>
      <c r="X64" s="54"/>
      <c r="AA64" s="54"/>
      <c r="AB64" s="54"/>
      <c r="AC64" s="54"/>
      <c r="AF64" s="54"/>
      <c r="AG64" s="54"/>
      <c r="AH64" s="54"/>
    </row>
    <row r="65" spans="1:34" ht="15" customHeight="1" x14ac:dyDescent="0.3">
      <c r="A65" s="254"/>
      <c r="B65" s="253"/>
      <c r="C65" s="255"/>
      <c r="D65" s="271" t="str">
        <f>CHOOSE(VOUT_setting, "Upper Feedback Resistor","","","")</f>
        <v/>
      </c>
      <c r="E65" s="279">
        <v>78.7</v>
      </c>
      <c r="F65" s="267" t="s">
        <v>50</v>
      </c>
      <c r="G65" s="134"/>
      <c r="H65" s="134"/>
      <c r="I65" s="635"/>
      <c r="J65" s="590"/>
      <c r="K65" s="83"/>
      <c r="L65" s="83"/>
      <c r="M65" s="83"/>
      <c r="N65" s="83"/>
      <c r="O65" s="83"/>
      <c r="P65" s="106"/>
      <c r="Q65" s="483"/>
      <c r="R65" s="54"/>
      <c r="S65" s="54"/>
      <c r="V65" s="54"/>
      <c r="W65" s="54"/>
      <c r="X65" s="54"/>
      <c r="AA65" s="54"/>
      <c r="AB65" s="54"/>
      <c r="AC65" s="54"/>
      <c r="AF65" s="54"/>
      <c r="AG65" s="54"/>
      <c r="AH65" s="54"/>
    </row>
    <row r="66" spans="1:34" ht="15" customHeight="1" x14ac:dyDescent="0.3">
      <c r="A66" s="572"/>
      <c r="B66" s="253"/>
      <c r="C66" s="255"/>
      <c r="D66" s="255" t="str">
        <f>CHOOSE(VOUT_setting, "Lower Feedback Resistor", "* Connect "&amp;'Variable Management'!D419&amp;" from FB to VDDA","* Tie FB to VDDA","* Connect "&amp;'Variable Management'!D419&amp;" from FB to VDDA")</f>
        <v>* Tie FB to VDDA</v>
      </c>
      <c r="E66" s="255">
        <f>IF(Vout=Vref,"OPEN",Rfb2_u/1000)</f>
        <v>792</v>
      </c>
      <c r="F66" s="257" t="str">
        <f>IF(Vout=Vref,"","kΩ")</f>
        <v>kΩ</v>
      </c>
      <c r="G66" s="582"/>
      <c r="H66" s="134"/>
      <c r="I66" s="605"/>
      <c r="J66" s="601"/>
      <c r="K66" s="83"/>
      <c r="L66" s="83"/>
      <c r="M66" s="83"/>
      <c r="N66" s="83"/>
      <c r="O66" s="83"/>
      <c r="P66" s="106"/>
      <c r="Q66" s="483"/>
      <c r="R66" s="54"/>
      <c r="S66" s="54"/>
      <c r="V66" s="54"/>
      <c r="W66" s="54"/>
      <c r="X66" s="54"/>
      <c r="AA66" s="54"/>
      <c r="AB66" s="54"/>
      <c r="AC66" s="54"/>
      <c r="AF66" s="54"/>
      <c r="AG66" s="54"/>
      <c r="AH66" s="54"/>
    </row>
    <row r="67" spans="1:34" ht="15" customHeight="1" thickBot="1" x14ac:dyDescent="0.35">
      <c r="A67" s="273"/>
      <c r="B67" s="274"/>
      <c r="C67" s="272"/>
      <c r="D67" s="272" t="str">
        <f>CHOOSE(VOUT_setting, "Actual Output Voltage Setpoint","","","")</f>
        <v/>
      </c>
      <c r="E67" s="783">
        <f>0.8/E66*(E65+E66)</f>
        <v>0.87949494949494955</v>
      </c>
      <c r="F67" s="275" t="s">
        <v>0</v>
      </c>
      <c r="G67" s="134"/>
      <c r="H67" s="134"/>
      <c r="I67" s="605"/>
      <c r="J67" s="601"/>
      <c r="K67" s="83"/>
      <c r="L67" s="83"/>
      <c r="M67" s="83"/>
      <c r="N67" s="83"/>
      <c r="O67" s="83"/>
      <c r="P67" s="106"/>
      <c r="Q67" s="483"/>
      <c r="R67" s="54"/>
      <c r="S67" s="54"/>
      <c r="V67" s="54"/>
      <c r="W67" s="54"/>
      <c r="X67" s="54"/>
      <c r="AA67" s="54"/>
      <c r="AB67" s="54"/>
      <c r="AC67" s="54"/>
      <c r="AF67" s="54"/>
      <c r="AG67" s="54"/>
      <c r="AH67" s="54"/>
    </row>
    <row r="68" spans="1:34" ht="13.5" customHeight="1" x14ac:dyDescent="0.3">
      <c r="A68" s="185"/>
      <c r="B68" s="532"/>
      <c r="C68" s="145"/>
      <c r="D68" s="134"/>
      <c r="E68" s="134"/>
      <c r="F68" s="134"/>
      <c r="G68" s="144"/>
      <c r="H68" s="143"/>
      <c r="I68" s="83"/>
      <c r="J68" s="83"/>
      <c r="K68" s="83"/>
      <c r="L68" s="83"/>
      <c r="M68" s="83"/>
      <c r="N68" s="83"/>
      <c r="O68" s="83"/>
      <c r="P68" s="106"/>
      <c r="Q68" s="483"/>
      <c r="R68" s="54"/>
      <c r="S68" s="54"/>
      <c r="V68" s="54"/>
      <c r="W68" s="54"/>
      <c r="X68" s="54"/>
      <c r="AA68" s="54"/>
      <c r="AB68" s="54"/>
      <c r="AC68" s="54"/>
      <c r="AF68" s="54"/>
      <c r="AG68" s="54"/>
      <c r="AH68" s="54"/>
    </row>
    <row r="69" spans="1:34" ht="15.75" customHeight="1" x14ac:dyDescent="0.3">
      <c r="A69" s="461" t="s">
        <v>225</v>
      </c>
      <c r="B69" s="146"/>
      <c r="C69" s="124"/>
      <c r="D69" s="140"/>
      <c r="E69" s="141"/>
      <c r="F69" s="142"/>
      <c r="G69" s="147"/>
      <c r="H69" s="127"/>
      <c r="I69" s="83"/>
      <c r="J69" s="83"/>
      <c r="K69" s="83"/>
      <c r="L69" s="83"/>
      <c r="M69" s="83"/>
      <c r="N69" s="83"/>
      <c r="O69" s="83"/>
      <c r="P69" s="106"/>
      <c r="Q69" s="483"/>
      <c r="R69" s="188"/>
      <c r="S69" s="188"/>
      <c r="T69" s="189"/>
      <c r="U69" s="189"/>
      <c r="V69" s="188"/>
      <c r="W69" s="188"/>
      <c r="X69" s="188"/>
      <c r="Y69" s="189"/>
      <c r="Z69" s="189"/>
      <c r="AA69" s="188"/>
      <c r="AB69" s="188"/>
      <c r="AC69" s="188"/>
      <c r="AD69" s="189"/>
      <c r="AE69" s="189"/>
      <c r="AF69" s="54"/>
      <c r="AG69" s="54"/>
      <c r="AH69" s="54"/>
    </row>
    <row r="70" spans="1:34" s="200" customFormat="1" ht="13.5" customHeight="1" thickBot="1" x14ac:dyDescent="0.35">
      <c r="A70" s="205"/>
      <c r="B70" s="206" t="s">
        <v>231</v>
      </c>
      <c r="C70" s="207" t="s">
        <v>224</v>
      </c>
      <c r="D70" s="575" t="str">
        <f>C70</f>
        <v>Std Values</v>
      </c>
      <c r="E70" s="537"/>
      <c r="F70" s="785" t="s">
        <v>226</v>
      </c>
      <c r="G70" s="785"/>
      <c r="H70" s="785"/>
      <c r="I70" s="195"/>
      <c r="J70" s="195"/>
      <c r="K70" s="195"/>
      <c r="L70" s="195"/>
      <c r="M70" s="195"/>
      <c r="N70" s="195"/>
      <c r="O70" s="195"/>
      <c r="P70" s="196"/>
      <c r="Q70" s="485"/>
      <c r="R70" s="197"/>
      <c r="S70" s="197"/>
      <c r="T70" s="198"/>
      <c r="U70" s="198"/>
      <c r="V70" s="197"/>
      <c r="W70" s="197"/>
      <c r="X70" s="197"/>
      <c r="Y70" s="198"/>
      <c r="Z70" s="198"/>
      <c r="AA70" s="197"/>
      <c r="AB70" s="197"/>
      <c r="AC70" s="197"/>
      <c r="AD70" s="198"/>
      <c r="AE70" s="198"/>
      <c r="AF70" s="199"/>
      <c r="AG70" s="199"/>
      <c r="AH70" s="199"/>
    </row>
    <row r="71" spans="1:34" ht="15.5" x14ac:dyDescent="0.4">
      <c r="A71" s="170" t="s">
        <v>643</v>
      </c>
      <c r="B71" s="180">
        <f>Rcea1/1000</f>
        <v>45.481360525950308</v>
      </c>
      <c r="C71" s="166">
        <f>'Standard Value Calculator'!S32</f>
        <v>45.3</v>
      </c>
      <c r="D71" s="167">
        <f>C71</f>
        <v>45.3</v>
      </c>
      <c r="E71" s="168" t="s">
        <v>50</v>
      </c>
      <c r="F71" s="778">
        <f>Fp1_u</f>
        <v>3.0305329858129837</v>
      </c>
      <c r="G71" s="418" t="s">
        <v>647</v>
      </c>
      <c r="H71" s="134"/>
      <c r="I71" s="478"/>
      <c r="J71" s="127"/>
      <c r="K71" s="83"/>
      <c r="L71" s="83"/>
      <c r="M71" s="83"/>
      <c r="N71" s="83"/>
      <c r="O71" s="83"/>
      <c r="P71" s="106"/>
      <c r="Q71" s="483"/>
      <c r="R71" s="188"/>
      <c r="S71" s="188"/>
      <c r="T71" s="189"/>
      <c r="U71" s="189"/>
      <c r="V71" s="188"/>
      <c r="W71" s="188"/>
      <c r="X71" s="188"/>
      <c r="Y71" s="189"/>
      <c r="Z71" s="189"/>
      <c r="AA71" s="188"/>
      <c r="AB71" s="188"/>
      <c r="AC71" s="188"/>
      <c r="AD71" s="189"/>
      <c r="AE71" s="189"/>
      <c r="AF71" s="54"/>
      <c r="AG71" s="54"/>
      <c r="AH71" s="54"/>
    </row>
    <row r="72" spans="1:34" ht="15.5" x14ac:dyDescent="0.4">
      <c r="A72" s="171" t="s">
        <v>227</v>
      </c>
      <c r="B72" s="470">
        <f>Cc1ea*1000000000</f>
        <v>0.87483609457410205</v>
      </c>
      <c r="C72" s="143">
        <f>'Standard Value Calculator'!S33</f>
        <v>0.82</v>
      </c>
      <c r="D72" s="148">
        <f>C72</f>
        <v>0.82</v>
      </c>
      <c r="E72" s="169" t="s">
        <v>141</v>
      </c>
      <c r="F72" s="419">
        <f>Fz1_u/1000</f>
        <v>4.2845782392116618</v>
      </c>
      <c r="G72" s="420" t="s">
        <v>495</v>
      </c>
      <c r="H72" s="134"/>
      <c r="I72" s="478"/>
      <c r="J72" s="127"/>
      <c r="K72" s="83"/>
      <c r="L72" s="83"/>
      <c r="M72" s="83"/>
      <c r="N72" s="83"/>
      <c r="O72" s="83"/>
      <c r="P72" s="106"/>
      <c r="Q72" s="483"/>
      <c r="R72" s="188"/>
      <c r="S72" s="188"/>
      <c r="T72" s="189"/>
      <c r="U72" s="189"/>
      <c r="V72" s="188"/>
      <c r="W72" s="188"/>
      <c r="X72" s="188"/>
      <c r="Y72" s="189"/>
      <c r="Z72" s="189"/>
      <c r="AA72" s="188"/>
      <c r="AB72" s="188"/>
      <c r="AC72" s="188"/>
      <c r="AD72" s="189"/>
      <c r="AE72" s="189"/>
      <c r="AF72" s="54"/>
      <c r="AG72" s="54"/>
      <c r="AH72" s="54"/>
    </row>
    <row r="73" spans="1:34" ht="16" thickBot="1" x14ac:dyDescent="0.45">
      <c r="A73" s="357" t="s">
        <v>228</v>
      </c>
      <c r="B73" s="181" t="str">
        <f>IF(Cc2ea&lt;0, "N/A", Cc2ea*1000000000000)</f>
        <v>N/A</v>
      </c>
      <c r="C73" s="177">
        <f>'Standard Value Calculator'!S34</f>
        <v>0</v>
      </c>
      <c r="D73" s="178">
        <f>C73</f>
        <v>0</v>
      </c>
      <c r="E73" s="179" t="s">
        <v>30</v>
      </c>
      <c r="F73" s="423">
        <f>Fp2_u/1000</f>
        <v>110.37527593818984</v>
      </c>
      <c r="G73" s="421" t="s">
        <v>496</v>
      </c>
      <c r="H73" s="134"/>
      <c r="I73" s="83"/>
      <c r="J73" s="83"/>
      <c r="K73" s="83"/>
      <c r="L73" s="83"/>
      <c r="M73" s="83"/>
      <c r="N73" s="83"/>
      <c r="O73" s="83"/>
      <c r="P73" s="106"/>
      <c r="Q73" s="483"/>
      <c r="R73" s="188"/>
      <c r="S73" s="188"/>
      <c r="T73" s="189"/>
      <c r="U73" s="189"/>
      <c r="V73" s="188"/>
      <c r="W73" s="188"/>
      <c r="X73" s="188"/>
      <c r="Y73" s="189"/>
      <c r="Z73" s="189"/>
      <c r="AA73" s="188"/>
      <c r="AB73" s="188"/>
      <c r="AC73" s="188"/>
      <c r="AD73" s="189"/>
      <c r="AE73" s="189"/>
      <c r="AF73" s="54"/>
      <c r="AG73" s="54"/>
      <c r="AH73" s="54"/>
    </row>
    <row r="74" spans="1:34" x14ac:dyDescent="0.3">
      <c r="A74" s="170"/>
      <c r="B74" s="180"/>
      <c r="C74" s="636"/>
      <c r="D74" s="642"/>
      <c r="E74" s="637"/>
      <c r="F74" s="638"/>
      <c r="G74" s="639"/>
      <c r="H74" s="134"/>
      <c r="I74" s="83"/>
      <c r="J74" s="83"/>
      <c r="K74" s="83"/>
      <c r="L74" s="83"/>
      <c r="M74" s="123"/>
      <c r="N74" s="780"/>
      <c r="O74" s="132"/>
      <c r="P74" s="106"/>
      <c r="Q74" s="483"/>
      <c r="R74" s="188"/>
      <c r="S74" s="188"/>
      <c r="T74" s="189"/>
      <c r="U74" s="189"/>
      <c r="V74" s="188"/>
      <c r="W74" s="188"/>
      <c r="X74" s="188"/>
      <c r="Y74" s="189"/>
      <c r="Z74" s="189"/>
      <c r="AA74" s="188"/>
      <c r="AB74" s="188"/>
      <c r="AC74" s="188"/>
      <c r="AD74" s="189"/>
      <c r="AE74" s="189"/>
      <c r="AF74" s="54"/>
      <c r="AG74" s="54"/>
      <c r="AH74" s="54"/>
    </row>
    <row r="75" spans="1:34" ht="13.5" thickBot="1" x14ac:dyDescent="0.35">
      <c r="A75" s="126"/>
      <c r="B75" s="124"/>
      <c r="C75" s="640"/>
      <c r="D75" s="641"/>
      <c r="E75" s="641"/>
      <c r="F75" s="641"/>
      <c r="G75" s="641"/>
      <c r="H75" s="127"/>
      <c r="I75" s="83"/>
      <c r="J75" s="83"/>
      <c r="K75" s="83"/>
      <c r="L75" s="83"/>
      <c r="M75" s="83"/>
      <c r="N75" s="83"/>
      <c r="O75" s="83"/>
      <c r="P75" s="106"/>
      <c r="Q75" s="483"/>
      <c r="R75" s="188"/>
      <c r="S75" s="188"/>
      <c r="T75" s="189"/>
      <c r="U75" s="189"/>
      <c r="V75" s="188"/>
      <c r="W75" s="188"/>
      <c r="X75" s="188"/>
      <c r="Y75" s="189"/>
      <c r="Z75" s="189"/>
      <c r="AA75" s="188"/>
      <c r="AB75" s="188"/>
      <c r="AC75" s="188"/>
      <c r="AD75" s="189"/>
      <c r="AE75" s="189"/>
      <c r="AF75" s="54"/>
      <c r="AG75" s="54"/>
      <c r="AH75" s="54"/>
    </row>
    <row r="76" spans="1:34" s="86" customFormat="1" ht="18.5" thickBot="1" x14ac:dyDescent="0.45">
      <c r="A76" s="186" t="s">
        <v>229</v>
      </c>
      <c r="B76" s="138"/>
      <c r="C76" s="149"/>
      <c r="D76" s="149"/>
      <c r="E76" s="149"/>
      <c r="F76" s="149"/>
      <c r="G76" s="149"/>
      <c r="H76" s="149"/>
      <c r="I76" s="84"/>
      <c r="J76" s="84"/>
      <c r="K76" s="84"/>
      <c r="L76" s="84"/>
      <c r="M76" s="84"/>
      <c r="N76" s="84"/>
      <c r="O76" s="84"/>
      <c r="P76" s="85"/>
      <c r="Q76" s="486"/>
      <c r="R76" s="190"/>
      <c r="S76" s="190"/>
      <c r="T76" s="191"/>
      <c r="U76" s="191"/>
      <c r="V76" s="190"/>
      <c r="W76" s="190"/>
      <c r="X76" s="190"/>
      <c r="Y76" s="191"/>
      <c r="Z76" s="191"/>
      <c r="AA76" s="190"/>
      <c r="AB76" s="190"/>
      <c r="AC76" s="190"/>
      <c r="AD76" s="191"/>
      <c r="AE76" s="191"/>
      <c r="AF76" s="55"/>
      <c r="AG76" s="55"/>
      <c r="AH76" s="55"/>
    </row>
    <row r="77" spans="1:34" x14ac:dyDescent="0.3">
      <c r="A77" s="184"/>
      <c r="B77" s="134"/>
      <c r="C77" s="127"/>
      <c r="D77" s="127"/>
      <c r="E77" s="127"/>
      <c r="F77" s="127"/>
      <c r="G77" s="127"/>
      <c r="H77" s="127"/>
      <c r="I77" s="83"/>
      <c r="J77" s="83"/>
      <c r="K77" s="83"/>
      <c r="L77" s="83"/>
      <c r="M77" s="83"/>
      <c r="N77" s="83"/>
      <c r="O77" s="83"/>
      <c r="P77" s="106"/>
      <c r="Q77" s="483"/>
      <c r="R77" s="188"/>
      <c r="S77" s="188"/>
      <c r="T77" s="189"/>
      <c r="U77" s="189"/>
      <c r="V77" s="188"/>
      <c r="W77" s="188"/>
      <c r="X77" s="188"/>
      <c r="Y77" s="189"/>
      <c r="Z77" s="189"/>
      <c r="AA77" s="188"/>
      <c r="AB77" s="188"/>
      <c r="AC77" s="188"/>
      <c r="AD77" s="189"/>
      <c r="AE77" s="189"/>
      <c r="AF77" s="54"/>
      <c r="AG77" s="54"/>
      <c r="AH77" s="54"/>
    </row>
    <row r="78" spans="1:34" ht="18" thickBot="1" x14ac:dyDescent="0.4">
      <c r="A78" s="150" t="s">
        <v>190</v>
      </c>
      <c r="B78" s="131"/>
      <c r="C78" s="127"/>
      <c r="D78" s="127"/>
      <c r="E78" s="127"/>
      <c r="F78" s="127"/>
      <c r="G78" s="127"/>
      <c r="H78" s="127"/>
      <c r="I78" s="83"/>
      <c r="J78" s="83"/>
      <c r="K78" s="83"/>
      <c r="L78" s="83"/>
      <c r="M78" s="83"/>
      <c r="N78" s="83"/>
      <c r="O78" s="83"/>
      <c r="P78" s="106"/>
      <c r="Q78" s="483"/>
      <c r="R78" s="188"/>
      <c r="S78" s="188"/>
      <c r="T78" s="189"/>
      <c r="U78" s="189"/>
      <c r="V78" s="188"/>
      <c r="W78" s="188"/>
      <c r="X78" s="188"/>
      <c r="Y78" s="189"/>
      <c r="Z78" s="189"/>
      <c r="AA78" s="188"/>
      <c r="AB78" s="188"/>
      <c r="AC78" s="188"/>
      <c r="AD78" s="189"/>
      <c r="AE78" s="189"/>
      <c r="AF78" s="54"/>
      <c r="AG78" s="54"/>
      <c r="AH78" s="54"/>
    </row>
    <row r="79" spans="1:34" ht="18" customHeight="1" x14ac:dyDescent="0.4">
      <c r="A79" s="172"/>
      <c r="B79" s="173"/>
      <c r="C79" s="542"/>
      <c r="D79" s="542"/>
      <c r="E79" s="542"/>
      <c r="F79" s="201" t="s">
        <v>737</v>
      </c>
      <c r="G79" s="579" t="s">
        <v>683</v>
      </c>
      <c r="H79" s="588"/>
      <c r="I79" s="600"/>
      <c r="J79" s="83"/>
      <c r="K79" s="83"/>
      <c r="L79" s="83"/>
      <c r="M79" s="83"/>
      <c r="N79" s="83"/>
      <c r="O79" s="83"/>
      <c r="P79" s="106"/>
      <c r="Q79" s="483"/>
      <c r="R79" s="188"/>
      <c r="S79" s="120"/>
      <c r="T79" s="120"/>
      <c r="U79" s="189"/>
      <c r="V79" s="188"/>
      <c r="W79" s="188"/>
      <c r="X79" s="188"/>
      <c r="Y79" s="189"/>
      <c r="Z79" s="189"/>
      <c r="AA79" s="188"/>
      <c r="AB79" s="188"/>
      <c r="AC79" s="188"/>
      <c r="AD79" s="189"/>
      <c r="AE79" s="189"/>
      <c r="AF79" s="54"/>
      <c r="AG79" s="54"/>
      <c r="AH79" s="54"/>
    </row>
    <row r="80" spans="1:34" ht="14.25" customHeight="1" x14ac:dyDescent="0.3">
      <c r="A80" s="576"/>
      <c r="B80" s="132"/>
      <c r="C80" s="577"/>
      <c r="D80" s="578"/>
      <c r="E80" s="777" t="s">
        <v>944</v>
      </c>
      <c r="F80" s="127"/>
      <c r="G80" s="162"/>
      <c r="H80" s="662"/>
      <c r="I80" s="134"/>
      <c r="J80" s="83"/>
      <c r="K80" s="83"/>
      <c r="L80" s="83"/>
      <c r="M80" s="83"/>
      <c r="N80" s="83"/>
      <c r="O80" s="83"/>
      <c r="P80" s="106"/>
      <c r="Q80" s="483"/>
      <c r="R80" s="188"/>
      <c r="S80" s="120"/>
      <c r="T80" s="120"/>
      <c r="U80" s="189"/>
      <c r="V80" s="188"/>
      <c r="W80" s="188"/>
      <c r="X80" s="188"/>
      <c r="Y80" s="189"/>
      <c r="Z80" s="189"/>
      <c r="AA80" s="188"/>
      <c r="AB80" s="188"/>
      <c r="AC80" s="188"/>
      <c r="AD80" s="189"/>
      <c r="AE80" s="189"/>
      <c r="AF80" s="54"/>
      <c r="AG80" s="54"/>
      <c r="AH80" s="54"/>
    </row>
    <row r="81" spans="1:34" ht="14.75" customHeight="1" x14ac:dyDescent="0.3">
      <c r="A81" s="468"/>
      <c r="B81" s="112"/>
      <c r="C81" s="112"/>
      <c r="D81" s="112"/>
      <c r="E81" s="469" t="s">
        <v>676</v>
      </c>
      <c r="F81" s="789" t="s">
        <v>528</v>
      </c>
      <c r="G81" s="790"/>
      <c r="H81" s="599"/>
      <c r="I81" s="601"/>
      <c r="J81" s="83"/>
      <c r="K81" s="83"/>
      <c r="L81" s="83"/>
      <c r="M81" s="83"/>
      <c r="N81" s="83"/>
      <c r="O81" s="83"/>
      <c r="P81" s="106"/>
      <c r="Q81" s="483"/>
      <c r="R81" s="188"/>
      <c r="S81" s="120"/>
      <c r="T81" s="120"/>
      <c r="U81" s="189"/>
      <c r="V81" s="188"/>
      <c r="W81" s="188"/>
      <c r="X81" s="188"/>
      <c r="Y81" s="189"/>
      <c r="Z81" s="189"/>
      <c r="AA81" s="188"/>
      <c r="AB81" s="188"/>
      <c r="AC81" s="188"/>
      <c r="AD81" s="189"/>
      <c r="AE81" s="189"/>
      <c r="AF81" s="54"/>
      <c r="AG81" s="54"/>
      <c r="AH81" s="54"/>
    </row>
    <row r="82" spans="1:34" ht="14.75" customHeight="1" x14ac:dyDescent="0.4">
      <c r="A82" s="126"/>
      <c r="B82" s="127"/>
      <c r="C82" s="132"/>
      <c r="D82" s="123" t="s">
        <v>264</v>
      </c>
      <c r="E82" s="250">
        <v>12</v>
      </c>
      <c r="F82" s="128">
        <v>4.0999999999999996</v>
      </c>
      <c r="G82" s="162" t="s">
        <v>49</v>
      </c>
      <c r="H82" s="581"/>
      <c r="I82" s="134"/>
      <c r="J82" s="83"/>
      <c r="K82" s="83"/>
      <c r="L82" s="83"/>
      <c r="M82" s="83"/>
      <c r="N82" s="83"/>
      <c r="O82" s="83"/>
      <c r="P82" s="106"/>
      <c r="Q82" s="483"/>
      <c r="R82" s="188"/>
      <c r="S82" s="120"/>
      <c r="T82" s="120"/>
      <c r="U82" s="189"/>
      <c r="V82" s="188"/>
      <c r="W82" s="188"/>
      <c r="X82" s="188"/>
      <c r="Y82" s="189"/>
      <c r="Z82" s="189"/>
      <c r="AA82" s="188"/>
      <c r="AB82" s="188"/>
      <c r="AC82" s="188"/>
      <c r="AD82" s="189"/>
      <c r="AE82" s="189"/>
      <c r="AF82" s="54"/>
      <c r="AG82" s="54"/>
      <c r="AH82" s="54"/>
    </row>
    <row r="83" spans="1:34" ht="14.75" customHeight="1" x14ac:dyDescent="0.4">
      <c r="A83" s="126"/>
      <c r="B83" s="127"/>
      <c r="C83" s="132"/>
      <c r="D83" s="123" t="s">
        <v>265</v>
      </c>
      <c r="E83" s="128">
        <v>8</v>
      </c>
      <c r="F83" s="128">
        <v>25</v>
      </c>
      <c r="G83" s="162" t="s">
        <v>65</v>
      </c>
      <c r="H83" s="581"/>
      <c r="I83" s="134"/>
      <c r="J83" s="83"/>
      <c r="K83" s="83"/>
      <c r="L83" s="83"/>
      <c r="M83" s="83"/>
      <c r="N83" s="83"/>
      <c r="O83" s="83"/>
      <c r="P83" s="106"/>
      <c r="Q83" s="483"/>
      <c r="R83" s="188"/>
      <c r="S83" s="120"/>
      <c r="T83" s="120"/>
      <c r="U83" s="189"/>
      <c r="V83" s="188"/>
      <c r="W83" s="188"/>
      <c r="X83" s="188"/>
      <c r="Y83" s="189"/>
      <c r="Z83" s="189"/>
      <c r="AA83" s="188"/>
      <c r="AB83" s="188"/>
      <c r="AC83" s="188"/>
      <c r="AD83" s="189"/>
      <c r="AE83" s="189"/>
      <c r="AF83" s="54"/>
      <c r="AG83" s="54"/>
      <c r="AH83" s="54"/>
    </row>
    <row r="84" spans="1:34" ht="14.75" customHeight="1" x14ac:dyDescent="0.4">
      <c r="A84" s="126"/>
      <c r="B84" s="127"/>
      <c r="C84" s="132"/>
      <c r="D84" s="123" t="s">
        <v>266</v>
      </c>
      <c r="E84" s="128">
        <v>2.9</v>
      </c>
      <c r="F84" s="128">
        <v>9</v>
      </c>
      <c r="G84" s="162" t="s">
        <v>65</v>
      </c>
      <c r="H84" s="581"/>
      <c r="I84" s="134"/>
      <c r="J84" s="83"/>
      <c r="K84" s="83"/>
      <c r="L84" s="83"/>
      <c r="M84" s="83"/>
      <c r="N84" s="83"/>
      <c r="O84" s="83"/>
      <c r="P84" s="106"/>
      <c r="Q84" s="483"/>
      <c r="R84" s="188"/>
      <c r="S84" s="120"/>
      <c r="T84" s="120"/>
      <c r="U84" s="189"/>
      <c r="V84" s="188"/>
      <c r="W84" s="188"/>
      <c r="X84" s="188"/>
      <c r="Y84" s="189"/>
      <c r="Z84" s="189"/>
      <c r="AA84" s="188"/>
      <c r="AB84" s="188"/>
      <c r="AC84" s="188"/>
      <c r="AD84" s="189"/>
      <c r="AE84" s="189"/>
      <c r="AF84" s="54"/>
      <c r="AG84" s="54"/>
      <c r="AH84" s="54"/>
    </row>
    <row r="85" spans="1:34" ht="14.75" customHeight="1" x14ac:dyDescent="0.4">
      <c r="A85" s="126"/>
      <c r="B85" s="127"/>
      <c r="C85" s="132"/>
      <c r="D85" s="123" t="s">
        <v>267</v>
      </c>
      <c r="E85" s="128">
        <v>3.1</v>
      </c>
      <c r="F85" s="128">
        <v>8.6999999999999993</v>
      </c>
      <c r="G85" s="162" t="s">
        <v>65</v>
      </c>
      <c r="H85" s="581"/>
      <c r="I85" s="134"/>
      <c r="J85" s="83"/>
      <c r="K85" s="83"/>
      <c r="L85" s="83"/>
      <c r="M85" s="83"/>
      <c r="N85" s="83"/>
      <c r="O85" s="83"/>
      <c r="P85" s="106"/>
      <c r="Q85" s="483"/>
      <c r="R85" s="188"/>
      <c r="S85" s="120"/>
      <c r="T85" s="120"/>
      <c r="U85" s="189"/>
      <c r="V85" s="188"/>
      <c r="W85" s="188"/>
      <c r="X85" s="188"/>
      <c r="Y85" s="189"/>
      <c r="Z85" s="189"/>
      <c r="AA85" s="188"/>
      <c r="AB85" s="188"/>
      <c r="AC85" s="188"/>
      <c r="AD85" s="189"/>
      <c r="AE85" s="189"/>
      <c r="AF85" s="54"/>
      <c r="AG85" s="54"/>
      <c r="AH85" s="54"/>
    </row>
    <row r="86" spans="1:34" ht="14.75" customHeight="1" x14ac:dyDescent="0.4">
      <c r="A86" s="468"/>
      <c r="B86" s="112"/>
      <c r="C86" s="112"/>
      <c r="D86" s="123" t="s">
        <v>714</v>
      </c>
      <c r="E86" s="581"/>
      <c r="F86" s="128">
        <v>30</v>
      </c>
      <c r="G86" s="162" t="s">
        <v>65</v>
      </c>
      <c r="H86" s="581"/>
      <c r="I86" s="134"/>
      <c r="J86" s="83"/>
      <c r="K86" s="83"/>
      <c r="L86" s="83"/>
      <c r="M86" s="83"/>
      <c r="N86" s="83"/>
      <c r="O86" s="83"/>
      <c r="P86" s="106"/>
      <c r="Q86" s="483"/>
      <c r="R86" s="188"/>
      <c r="S86" s="120"/>
      <c r="T86" s="120"/>
      <c r="U86" s="189"/>
      <c r="V86" s="188"/>
      <c r="W86" s="188"/>
      <c r="X86" s="188"/>
      <c r="Y86" s="189"/>
      <c r="Z86" s="189"/>
      <c r="AA86" s="188"/>
      <c r="AB86" s="188"/>
      <c r="AC86" s="188"/>
      <c r="AD86" s="189"/>
      <c r="AE86" s="189"/>
      <c r="AF86" s="54"/>
      <c r="AG86" s="54"/>
      <c r="AH86" s="54"/>
    </row>
    <row r="87" spans="1:34" ht="14.75" customHeight="1" x14ac:dyDescent="0.4">
      <c r="A87" s="468"/>
      <c r="B87" s="112"/>
      <c r="C87" s="112"/>
      <c r="D87" s="123" t="s">
        <v>713</v>
      </c>
      <c r="E87" s="128">
        <v>116</v>
      </c>
      <c r="F87" s="128">
        <v>366</v>
      </c>
      <c r="G87" s="162" t="s">
        <v>30</v>
      </c>
      <c r="H87" s="581"/>
      <c r="I87" s="134"/>
      <c r="J87" s="83"/>
      <c r="K87" s="83"/>
      <c r="L87" s="83"/>
      <c r="M87" s="83"/>
      <c r="N87" s="83"/>
      <c r="O87" s="83"/>
      <c r="P87" s="106"/>
      <c r="Q87" s="483"/>
      <c r="R87" s="188"/>
      <c r="S87" s="120"/>
      <c r="T87" s="120"/>
      <c r="U87" s="189"/>
      <c r="V87" s="188"/>
      <c r="W87" s="188"/>
      <c r="X87" s="188"/>
      <c r="Y87" s="189"/>
      <c r="Z87" s="189"/>
      <c r="AA87" s="188"/>
      <c r="AB87" s="188"/>
      <c r="AC87" s="188"/>
      <c r="AD87" s="189"/>
      <c r="AE87" s="189"/>
      <c r="AF87" s="54"/>
      <c r="AG87" s="54"/>
      <c r="AH87" s="54"/>
    </row>
    <row r="88" spans="1:34" ht="14.75" customHeight="1" x14ac:dyDescent="0.4">
      <c r="A88" s="126"/>
      <c r="B88" s="127"/>
      <c r="C88" s="132"/>
      <c r="D88" s="123" t="s">
        <v>268</v>
      </c>
      <c r="E88" s="128">
        <v>1.2</v>
      </c>
      <c r="F88" s="128">
        <v>1.2</v>
      </c>
      <c r="G88" s="162" t="s">
        <v>138</v>
      </c>
      <c r="H88" s="581"/>
      <c r="I88" s="134"/>
      <c r="J88" s="83"/>
      <c r="K88" s="83"/>
      <c r="L88" s="83"/>
      <c r="M88" s="83"/>
      <c r="N88" s="83"/>
      <c r="O88" s="83"/>
      <c r="P88" s="106"/>
      <c r="Q88" s="483"/>
      <c r="R88" s="188"/>
      <c r="S88" s="120"/>
      <c r="T88" s="120"/>
      <c r="U88" s="189"/>
      <c r="V88" s="188"/>
      <c r="W88" s="188"/>
      <c r="X88" s="188"/>
      <c r="Y88" s="189"/>
      <c r="Z88" s="189"/>
      <c r="AA88" s="188"/>
      <c r="AB88" s="188"/>
      <c r="AC88" s="188"/>
      <c r="AD88" s="189"/>
      <c r="AE88" s="189"/>
      <c r="AF88" s="54"/>
      <c r="AG88" s="54"/>
      <c r="AH88" s="54"/>
    </row>
    <row r="89" spans="1:34" ht="14.75" customHeight="1" x14ac:dyDescent="0.4">
      <c r="A89" s="126"/>
      <c r="B89" s="127"/>
      <c r="C89" s="132"/>
      <c r="D89" s="123" t="s">
        <v>269</v>
      </c>
      <c r="E89" s="128">
        <v>55</v>
      </c>
      <c r="F89" s="128">
        <v>178</v>
      </c>
      <c r="G89" s="162" t="s">
        <v>66</v>
      </c>
      <c r="H89" s="581"/>
      <c r="I89" s="134"/>
      <c r="J89" s="83"/>
      <c r="K89" s="83"/>
      <c r="L89" s="83"/>
      <c r="M89" s="83"/>
      <c r="N89" s="83"/>
      <c r="O89" s="83"/>
      <c r="P89" s="106"/>
      <c r="Q89" s="483"/>
      <c r="R89" s="188"/>
      <c r="S89" s="120"/>
      <c r="T89" s="120"/>
      <c r="U89" s="189"/>
      <c r="V89" s="188"/>
      <c r="W89" s="188"/>
      <c r="X89" s="188"/>
      <c r="Y89" s="189"/>
      <c r="Z89" s="189"/>
      <c r="AA89" s="188"/>
      <c r="AB89" s="188"/>
      <c r="AC89" s="188"/>
      <c r="AD89" s="189"/>
      <c r="AE89" s="189"/>
      <c r="AF89" s="54"/>
      <c r="AG89" s="54"/>
      <c r="AH89" s="54"/>
    </row>
    <row r="90" spans="1:34" ht="14.75" customHeight="1" x14ac:dyDescent="0.4">
      <c r="A90" s="126"/>
      <c r="B90" s="127"/>
      <c r="C90" s="132"/>
      <c r="D90" s="123" t="s">
        <v>526</v>
      </c>
      <c r="E90" s="128">
        <v>3.1</v>
      </c>
      <c r="F90" s="128">
        <v>3</v>
      </c>
      <c r="G90" s="162" t="s">
        <v>0</v>
      </c>
      <c r="H90" s="581"/>
      <c r="I90" s="134"/>
      <c r="J90" s="83"/>
      <c r="K90" s="83"/>
      <c r="L90" s="83"/>
      <c r="M90" s="83"/>
      <c r="N90" s="83"/>
      <c r="O90" s="83"/>
      <c r="P90" s="106"/>
      <c r="Q90" s="483"/>
      <c r="R90" s="188"/>
      <c r="S90" s="120"/>
      <c r="T90" s="120"/>
      <c r="U90" s="189"/>
      <c r="V90" s="188"/>
      <c r="W90" s="188"/>
      <c r="X90" s="188"/>
      <c r="Y90" s="189"/>
      <c r="Z90" s="189"/>
      <c r="AA90" s="188"/>
      <c r="AB90" s="188"/>
      <c r="AC90" s="188"/>
      <c r="AD90" s="189"/>
      <c r="AE90" s="189"/>
      <c r="AF90" s="54"/>
      <c r="AG90" s="54"/>
      <c r="AH90" s="54"/>
    </row>
    <row r="91" spans="1:34" ht="14.75" customHeight="1" x14ac:dyDescent="0.4">
      <c r="A91" s="126"/>
      <c r="B91" s="127"/>
      <c r="C91" s="132"/>
      <c r="D91" s="123" t="s">
        <v>523</v>
      </c>
      <c r="E91" s="128">
        <v>0.7</v>
      </c>
      <c r="F91" s="128">
        <v>0.7</v>
      </c>
      <c r="G91" s="162" t="s">
        <v>0</v>
      </c>
      <c r="H91" s="581"/>
      <c r="I91" s="134"/>
      <c r="J91" s="83"/>
      <c r="K91" s="83"/>
      <c r="L91" s="83"/>
      <c r="M91" s="83"/>
      <c r="N91" s="83"/>
      <c r="O91" s="83"/>
      <c r="P91" s="106"/>
      <c r="Q91" s="483"/>
      <c r="R91" s="188"/>
      <c r="S91" s="120"/>
      <c r="T91" s="120"/>
      <c r="U91" s="189"/>
      <c r="V91" s="188"/>
      <c r="W91" s="188"/>
      <c r="X91" s="188"/>
      <c r="Y91" s="189"/>
      <c r="Z91" s="189"/>
      <c r="AA91" s="188"/>
      <c r="AB91" s="188"/>
      <c r="AC91" s="188"/>
      <c r="AD91" s="189"/>
      <c r="AE91" s="189"/>
      <c r="AF91" s="54"/>
      <c r="AG91" s="54"/>
      <c r="AH91" s="54"/>
    </row>
    <row r="92" spans="1:34" ht="14.25" customHeight="1" x14ac:dyDescent="0.4">
      <c r="A92" s="126"/>
      <c r="B92" s="127"/>
      <c r="C92" s="127"/>
      <c r="D92" s="123" t="s">
        <v>525</v>
      </c>
      <c r="E92" s="2"/>
      <c r="F92" s="128">
        <v>59</v>
      </c>
      <c r="G92" s="162" t="s">
        <v>65</v>
      </c>
      <c r="H92" s="588"/>
      <c r="I92" s="134"/>
      <c r="J92" s="83"/>
      <c r="K92" s="83"/>
      <c r="L92" s="83"/>
      <c r="M92" s="83"/>
      <c r="N92" s="83"/>
      <c r="O92" s="83"/>
      <c r="P92" s="106"/>
      <c r="Q92" s="483"/>
      <c r="R92" s="188"/>
      <c r="S92" s="120"/>
      <c r="T92" s="120"/>
      <c r="U92" s="189"/>
      <c r="V92" s="188"/>
      <c r="W92" s="188"/>
      <c r="X92" s="188"/>
      <c r="Y92" s="189"/>
      <c r="Z92" s="189"/>
      <c r="AA92" s="188"/>
      <c r="AB92" s="188"/>
      <c r="AC92" s="188"/>
      <c r="AD92" s="189"/>
      <c r="AE92" s="189"/>
      <c r="AF92" s="54"/>
      <c r="AG92" s="54"/>
      <c r="AH92" s="54"/>
    </row>
    <row r="93" spans="1:34" ht="14.75" customHeight="1" thickBot="1" x14ac:dyDescent="0.45">
      <c r="A93" s="192"/>
      <c r="B93" s="174"/>
      <c r="C93" s="193"/>
      <c r="D93" s="175" t="s">
        <v>270</v>
      </c>
      <c r="E93" s="246">
        <v>42</v>
      </c>
      <c r="F93" s="246">
        <v>40.700000000000003</v>
      </c>
      <c r="G93" s="176" t="s">
        <v>202</v>
      </c>
      <c r="H93" s="632"/>
      <c r="I93" s="134"/>
      <c r="J93" s="83"/>
      <c r="K93" s="83"/>
      <c r="L93" s="83"/>
      <c r="M93" s="83"/>
      <c r="N93" s="83"/>
      <c r="O93" s="83"/>
      <c r="P93" s="106"/>
      <c r="Q93" s="483"/>
      <c r="R93" s="188"/>
      <c r="S93" s="120"/>
      <c r="T93" s="120"/>
      <c r="U93" s="189"/>
      <c r="V93" s="188"/>
      <c r="W93" s="188"/>
      <c r="X93" s="188"/>
      <c r="Y93" s="189"/>
      <c r="Z93" s="189"/>
      <c r="AA93" s="188"/>
      <c r="AB93" s="188"/>
      <c r="AC93" s="188"/>
      <c r="AD93" s="189"/>
      <c r="AE93" s="189"/>
      <c r="AF93" s="54"/>
      <c r="AG93" s="54"/>
      <c r="AH93" s="54"/>
    </row>
    <row r="94" spans="1:34" ht="14.75" customHeight="1" thickBot="1" x14ac:dyDescent="0.35">
      <c r="A94" s="126"/>
      <c r="B94" s="127"/>
      <c r="C94" s="132"/>
      <c r="D94" s="123"/>
      <c r="E94" s="134"/>
      <c r="F94" s="194"/>
      <c r="G94" s="127"/>
      <c r="H94" s="127"/>
      <c r="I94" s="83"/>
      <c r="J94" s="83"/>
      <c r="K94" s="83"/>
      <c r="L94" s="83"/>
      <c r="M94" s="83"/>
      <c r="N94" s="83"/>
      <c r="O94" s="83"/>
      <c r="P94" s="106"/>
      <c r="Q94" s="483"/>
      <c r="R94" s="188"/>
      <c r="S94" s="120"/>
      <c r="T94" s="120"/>
      <c r="U94" s="189"/>
      <c r="V94" s="188"/>
      <c r="W94" s="188"/>
      <c r="X94" s="188"/>
      <c r="Y94" s="189"/>
      <c r="Z94" s="189"/>
      <c r="AA94" s="188"/>
      <c r="AB94" s="188"/>
      <c r="AC94" s="188"/>
      <c r="AD94" s="189"/>
      <c r="AE94" s="189"/>
      <c r="AF94" s="54"/>
      <c r="AG94" s="54"/>
      <c r="AH94" s="54"/>
    </row>
    <row r="95" spans="1:34" ht="14.75" customHeight="1" x14ac:dyDescent="0.3">
      <c r="A95" s="571" t="s">
        <v>494</v>
      </c>
      <c r="B95" s="458"/>
      <c r="C95" s="459"/>
      <c r="D95" s="471"/>
      <c r="E95" s="564"/>
      <c r="F95" s="565"/>
      <c r="G95" s="460"/>
      <c r="H95" s="127"/>
      <c r="I95" s="83"/>
      <c r="J95" s="83"/>
      <c r="K95" s="83"/>
      <c r="L95" s="83"/>
      <c r="M95" s="83"/>
      <c r="N95" s="83"/>
      <c r="O95" s="83"/>
      <c r="P95" s="106"/>
      <c r="Q95" s="483"/>
      <c r="R95" s="188"/>
      <c r="S95" s="120"/>
      <c r="T95" s="120"/>
      <c r="U95" s="189"/>
      <c r="V95" s="188"/>
      <c r="W95" s="188"/>
      <c r="X95" s="188"/>
      <c r="Y95" s="189"/>
      <c r="Z95" s="189"/>
      <c r="AA95" s="188"/>
      <c r="AB95" s="188"/>
      <c r="AC95" s="188"/>
      <c r="AD95" s="189"/>
      <c r="AE95" s="189"/>
      <c r="AF95" s="54"/>
      <c r="AG95" s="54"/>
      <c r="AH95" s="54"/>
    </row>
    <row r="96" spans="1:34" ht="14.75" customHeight="1" x14ac:dyDescent="0.4">
      <c r="A96" s="126"/>
      <c r="B96" s="127"/>
      <c r="C96" s="127"/>
      <c r="D96" s="123" t="s">
        <v>527</v>
      </c>
      <c r="E96" s="112"/>
      <c r="F96" s="247">
        <v>0</v>
      </c>
      <c r="G96" s="162" t="s">
        <v>0</v>
      </c>
      <c r="H96" s="127"/>
      <c r="I96" s="83"/>
      <c r="J96" s="83"/>
      <c r="K96" s="83"/>
      <c r="L96" s="83"/>
      <c r="M96" s="83"/>
      <c r="N96" s="83"/>
      <c r="O96" s="83"/>
      <c r="P96" s="106"/>
      <c r="Q96" s="483"/>
      <c r="R96" s="188"/>
      <c r="S96" s="120"/>
      <c r="T96" s="120"/>
      <c r="U96" s="189"/>
      <c r="V96" s="188"/>
      <c r="W96" s="188"/>
      <c r="X96" s="188"/>
      <c r="Y96" s="189"/>
      <c r="Z96" s="189"/>
      <c r="AA96" s="188"/>
      <c r="AB96" s="188"/>
      <c r="AC96" s="188"/>
      <c r="AD96" s="189"/>
      <c r="AE96" s="189"/>
      <c r="AF96" s="54"/>
      <c r="AG96" s="54"/>
      <c r="AH96" s="54"/>
    </row>
    <row r="97" spans="1:34" ht="14.75" customHeight="1" thickBot="1" x14ac:dyDescent="0.45">
      <c r="A97" s="192"/>
      <c r="B97" s="174"/>
      <c r="C97" s="174"/>
      <c r="D97" s="175" t="s">
        <v>524</v>
      </c>
      <c r="E97" s="543"/>
      <c r="F97" s="248">
        <v>0</v>
      </c>
      <c r="G97" s="176" t="s">
        <v>65</v>
      </c>
      <c r="H97" s="127"/>
      <c r="I97" s="83"/>
      <c r="J97" s="83"/>
      <c r="K97" s="83"/>
      <c r="L97" s="83"/>
      <c r="M97" s="83"/>
      <c r="N97" s="83"/>
      <c r="O97" s="83"/>
      <c r="P97" s="106"/>
      <c r="Q97" s="483"/>
      <c r="R97" s="188"/>
      <c r="S97" s="120"/>
      <c r="T97" s="120"/>
      <c r="U97" s="189"/>
      <c r="V97" s="188"/>
      <c r="W97" s="188"/>
      <c r="X97" s="188"/>
      <c r="Y97" s="189"/>
      <c r="Z97" s="189"/>
      <c r="AA97" s="188"/>
      <c r="AB97" s="188"/>
      <c r="AC97" s="188"/>
      <c r="AD97" s="189"/>
      <c r="AE97" s="189"/>
      <c r="AF97" s="54"/>
      <c r="AG97" s="54"/>
      <c r="AH97" s="54"/>
    </row>
    <row r="98" spans="1:34" ht="14.75" customHeight="1" x14ac:dyDescent="0.3">
      <c r="A98" s="184"/>
      <c r="B98" s="134"/>
      <c r="C98" s="134"/>
      <c r="D98" s="580"/>
      <c r="E98" s="112"/>
      <c r="F98" s="112"/>
      <c r="G98" s="112"/>
      <c r="H98" s="127"/>
      <c r="I98" s="83"/>
      <c r="J98" s="83"/>
      <c r="K98" s="83"/>
      <c r="L98" s="83"/>
      <c r="M98" s="83"/>
      <c r="N98" s="83"/>
      <c r="O98" s="83"/>
      <c r="P98" s="106"/>
      <c r="Q98" s="483"/>
      <c r="R98" s="188"/>
      <c r="S98" s="120"/>
      <c r="T98" s="120"/>
      <c r="U98" s="189"/>
      <c r="V98" s="188"/>
      <c r="W98" s="188"/>
      <c r="X98" s="188"/>
      <c r="Y98" s="189"/>
      <c r="Z98" s="189"/>
      <c r="AA98" s="188"/>
      <c r="AB98" s="188"/>
      <c r="AC98" s="188"/>
      <c r="AD98" s="189"/>
      <c r="AE98" s="189"/>
      <c r="AF98" s="54"/>
      <c r="AG98" s="54"/>
      <c r="AH98" s="54"/>
    </row>
    <row r="99" spans="1:34" ht="19.5" customHeight="1" x14ac:dyDescent="0.3">
      <c r="A99" s="184"/>
      <c r="B99" s="134"/>
      <c r="C99" s="581"/>
      <c r="D99" s="580"/>
      <c r="E99" s="112"/>
      <c r="F99" s="112"/>
      <c r="G99" s="112"/>
      <c r="H99" s="127"/>
      <c r="I99" s="83"/>
      <c r="J99" s="83"/>
      <c r="K99" s="83"/>
      <c r="L99" s="83"/>
      <c r="M99" s="83"/>
      <c r="N99" s="83"/>
      <c r="O99" s="83"/>
      <c r="P99" s="106"/>
      <c r="Q99" s="483"/>
      <c r="R99" s="188"/>
      <c r="S99" s="120"/>
      <c r="T99" s="120"/>
      <c r="U99" s="189"/>
      <c r="V99" s="188"/>
      <c r="W99" s="188"/>
      <c r="X99" s="188"/>
      <c r="Y99" s="189"/>
      <c r="Z99" s="189"/>
      <c r="AA99" s="188"/>
      <c r="AB99" s="188"/>
      <c r="AC99" s="188"/>
      <c r="AD99" s="189"/>
      <c r="AE99" s="189"/>
      <c r="AF99" s="54"/>
      <c r="AG99" s="54"/>
      <c r="AH99" s="54"/>
    </row>
    <row r="100" spans="1:34" ht="15" customHeight="1" x14ac:dyDescent="0.3">
      <c r="A100" s="184"/>
      <c r="B100" s="134"/>
      <c r="C100" s="581"/>
      <c r="D100" s="580"/>
      <c r="E100" s="112"/>
      <c r="F100" s="112"/>
      <c r="G100" s="112"/>
      <c r="H100" s="127"/>
      <c r="I100" s="83"/>
      <c r="J100" s="83"/>
      <c r="K100" s="83"/>
      <c r="L100" s="83"/>
      <c r="M100" s="83"/>
      <c r="N100" s="83"/>
      <c r="O100" s="83"/>
      <c r="P100" s="106"/>
      <c r="Q100" s="483"/>
      <c r="R100" s="54"/>
      <c r="S100" s="6"/>
      <c r="T100" s="6"/>
      <c r="V100" s="54"/>
      <c r="W100" s="54"/>
      <c r="X100" s="54"/>
      <c r="AA100" s="54"/>
      <c r="AB100" s="54"/>
      <c r="AC100" s="54"/>
      <c r="AF100" s="54"/>
      <c r="AG100" s="54"/>
      <c r="AH100" s="54"/>
    </row>
    <row r="101" spans="1:34" ht="19.5" customHeight="1" thickBot="1" x14ac:dyDescent="0.4">
      <c r="A101" s="150" t="s">
        <v>701</v>
      </c>
      <c r="B101" s="134"/>
      <c r="C101" s="581"/>
      <c r="D101" s="580"/>
      <c r="E101" s="112"/>
      <c r="F101" s="112"/>
      <c r="G101" s="112"/>
      <c r="H101" s="127"/>
      <c r="I101" s="83"/>
      <c r="J101" s="83"/>
      <c r="K101" s="83"/>
      <c r="L101" s="83"/>
      <c r="M101" s="83"/>
      <c r="N101" s="83"/>
      <c r="O101" s="83"/>
      <c r="P101" s="106"/>
      <c r="Q101" s="483"/>
      <c r="R101" s="54"/>
      <c r="S101" s="54"/>
      <c r="V101" s="54"/>
      <c r="W101" s="54"/>
      <c r="X101" s="54"/>
      <c r="AA101" s="54"/>
      <c r="AB101" s="54"/>
      <c r="AC101" s="54"/>
      <c r="AF101" s="54"/>
      <c r="AG101" s="54"/>
      <c r="AH101" s="54"/>
    </row>
    <row r="102" spans="1:34" ht="15.75" customHeight="1" x14ac:dyDescent="0.3">
      <c r="A102" s="183"/>
      <c r="B102" s="153"/>
      <c r="C102" s="154"/>
      <c r="D102" s="154" t="s">
        <v>712</v>
      </c>
      <c r="E102" s="541">
        <f>'Variable Management'!B362</f>
        <v>6.6937199999999988E-2</v>
      </c>
      <c r="F102" s="161" t="s">
        <v>116</v>
      </c>
      <c r="G102" s="112"/>
      <c r="H102" s="127"/>
      <c r="I102" s="83"/>
      <c r="J102" s="83"/>
      <c r="K102" s="83"/>
      <c r="L102" s="83"/>
      <c r="M102" s="83"/>
      <c r="N102" s="83"/>
      <c r="O102" s="83"/>
      <c r="P102" s="106"/>
      <c r="Q102" s="483"/>
      <c r="R102" s="54"/>
      <c r="S102" s="54"/>
      <c r="V102" s="54"/>
      <c r="W102" s="54"/>
      <c r="X102" s="54"/>
      <c r="AA102" s="54"/>
      <c r="AB102" s="54"/>
      <c r="AC102" s="54"/>
      <c r="AF102" s="54"/>
      <c r="AG102" s="54"/>
      <c r="AH102" s="54"/>
    </row>
    <row r="103" spans="1:34" ht="15.75" customHeight="1" x14ac:dyDescent="0.3">
      <c r="A103" s="583"/>
      <c r="B103" s="127"/>
      <c r="C103" s="127"/>
      <c r="D103" s="255" t="s">
        <v>702</v>
      </c>
      <c r="E103" s="256">
        <f>'Variable Management'!B364</f>
        <v>27.282558519999998</v>
      </c>
      <c r="F103" s="257" t="s">
        <v>223</v>
      </c>
      <c r="G103" s="112"/>
      <c r="H103" s="127"/>
      <c r="I103" s="83"/>
      <c r="J103" s="83"/>
      <c r="K103" s="83"/>
      <c r="L103" s="83"/>
      <c r="M103" s="83"/>
      <c r="N103" s="83"/>
      <c r="O103" s="83"/>
      <c r="P103" s="106"/>
      <c r="Q103" s="483"/>
      <c r="R103" s="54"/>
      <c r="S103" s="54"/>
      <c r="V103" s="54"/>
      <c r="W103" s="54"/>
      <c r="X103" s="54"/>
      <c r="AA103" s="54"/>
      <c r="AB103" s="54"/>
      <c r="AC103" s="54"/>
      <c r="AF103" s="54"/>
      <c r="AG103" s="54"/>
      <c r="AH103" s="54"/>
    </row>
    <row r="104" spans="1:34" ht="14.25" customHeight="1" thickBot="1" x14ac:dyDescent="0.35">
      <c r="A104" s="643"/>
      <c r="B104" s="644"/>
      <c r="C104" s="644"/>
      <c r="D104" s="645"/>
      <c r="E104" s="645" t="str">
        <f>CHOOSE(Ext_VCC, "", "* Tie VCCX to PGND")</f>
        <v/>
      </c>
      <c r="F104" s="646"/>
      <c r="G104" s="112"/>
      <c r="H104" s="127"/>
      <c r="I104" s="83"/>
      <c r="J104" s="83"/>
      <c r="K104" s="83"/>
      <c r="L104" s="83"/>
      <c r="M104" s="83"/>
      <c r="N104" s="83"/>
      <c r="O104" s="83"/>
      <c r="P104" s="106"/>
      <c r="Q104" s="483"/>
      <c r="R104" s="54"/>
      <c r="S104" s="54"/>
      <c r="V104" s="54"/>
      <c r="W104" s="54"/>
      <c r="X104" s="54"/>
      <c r="AA104" s="54"/>
      <c r="AB104" s="54"/>
      <c r="AC104" s="54"/>
      <c r="AF104" s="54"/>
      <c r="AG104" s="54"/>
      <c r="AH104" s="54"/>
    </row>
    <row r="105" spans="1:34" ht="14.75" customHeight="1" x14ac:dyDescent="0.3">
      <c r="A105" s="583"/>
      <c r="B105" s="127"/>
      <c r="C105" s="127"/>
      <c r="D105" s="123"/>
      <c r="E105" s="2"/>
      <c r="F105" s="127"/>
      <c r="G105" s="127"/>
      <c r="H105" s="127"/>
      <c r="I105" s="87"/>
      <c r="J105" s="83"/>
      <c r="K105" s="83"/>
      <c r="L105" s="83"/>
      <c r="M105" s="83"/>
      <c r="N105" s="83"/>
      <c r="O105" s="83"/>
      <c r="P105" s="106"/>
      <c r="Q105" s="483"/>
      <c r="R105" s="54"/>
      <c r="S105" s="54"/>
      <c r="V105" s="54"/>
      <c r="W105" s="54"/>
      <c r="X105" s="54"/>
      <c r="AA105" s="54"/>
      <c r="AB105" s="54"/>
      <c r="AC105" s="54"/>
      <c r="AF105" s="54"/>
      <c r="AG105" s="54"/>
      <c r="AH105" s="54"/>
    </row>
    <row r="106" spans="1:34" ht="13.5" thickBot="1" x14ac:dyDescent="0.35">
      <c r="A106" s="158"/>
      <c r="B106" s="159"/>
      <c r="C106" s="159"/>
      <c r="D106" s="159"/>
      <c r="E106" s="202"/>
      <c r="F106" s="159"/>
      <c r="G106" s="159"/>
      <c r="H106" s="159"/>
      <c r="I106" s="203"/>
      <c r="J106" s="203"/>
      <c r="K106" s="203"/>
      <c r="L106" s="203"/>
      <c r="M106" s="203"/>
      <c r="N106" s="203"/>
      <c r="O106" s="203"/>
      <c r="P106" s="204"/>
      <c r="Q106" s="483"/>
      <c r="R106" s="54"/>
      <c r="S106" s="54"/>
      <c r="V106" s="54"/>
      <c r="W106" s="54"/>
      <c r="X106" s="54"/>
      <c r="AA106" s="54"/>
      <c r="AB106" s="54"/>
      <c r="AC106" s="54"/>
      <c r="AF106" s="54"/>
      <c r="AG106" s="54"/>
      <c r="AH106" s="54"/>
    </row>
    <row r="107" spans="1:34" x14ac:dyDescent="0.3">
      <c r="A107" s="480"/>
      <c r="B107" s="481"/>
      <c r="C107" s="482"/>
      <c r="D107" s="482"/>
      <c r="E107" s="482"/>
      <c r="F107" s="482"/>
      <c r="G107" s="482"/>
      <c r="H107" s="482"/>
      <c r="I107" s="482"/>
      <c r="J107" s="482"/>
      <c r="K107" s="482"/>
      <c r="L107" s="482"/>
      <c r="M107" s="482"/>
      <c r="N107" s="482"/>
      <c r="O107" s="482"/>
      <c r="P107" s="482"/>
      <c r="Q107" s="483"/>
      <c r="R107" s="54"/>
      <c r="S107" s="54"/>
      <c r="V107" s="54"/>
      <c r="W107" s="54"/>
      <c r="X107" s="54"/>
      <c r="AA107" s="54"/>
      <c r="AB107" s="54"/>
      <c r="AC107" s="54"/>
      <c r="AF107" s="54"/>
      <c r="AG107" s="54"/>
      <c r="AH107" s="54"/>
    </row>
    <row r="108" spans="1:34" x14ac:dyDescent="0.3">
      <c r="A108" s="79"/>
      <c r="Q108" s="54"/>
      <c r="R108" s="54"/>
      <c r="S108" s="54"/>
      <c r="V108" s="54"/>
      <c r="W108" s="54"/>
      <c r="X108" s="54"/>
      <c r="AA108" s="54"/>
      <c r="AB108" s="54"/>
      <c r="AC108" s="54"/>
      <c r="AF108" s="54"/>
      <c r="AG108" s="54"/>
      <c r="AH108" s="54"/>
    </row>
    <row r="109" spans="1:34" x14ac:dyDescent="0.3">
      <c r="Q109" s="54"/>
      <c r="R109" s="54"/>
      <c r="S109" s="54"/>
      <c r="V109" s="54"/>
      <c r="W109" s="54"/>
      <c r="X109" s="54"/>
      <c r="AA109" s="54"/>
      <c r="AB109" s="54"/>
      <c r="AC109" s="54"/>
      <c r="AF109" s="54"/>
      <c r="AG109" s="54"/>
      <c r="AH109" s="54"/>
    </row>
    <row r="110" spans="1:34" x14ac:dyDescent="0.3">
      <c r="Q110" s="54"/>
      <c r="R110" s="54"/>
      <c r="S110" s="54"/>
      <c r="V110" s="54"/>
      <c r="W110" s="54"/>
      <c r="X110" s="54"/>
      <c r="AA110" s="54"/>
      <c r="AB110" s="54"/>
      <c r="AC110" s="54"/>
      <c r="AF110" s="54"/>
      <c r="AG110" s="54"/>
      <c r="AH110" s="54"/>
    </row>
    <row r="111" spans="1:34" x14ac:dyDescent="0.3">
      <c r="Q111" s="54"/>
      <c r="R111" s="54"/>
      <c r="S111" s="54"/>
      <c r="V111" s="54"/>
      <c r="W111" s="54"/>
      <c r="X111" s="54"/>
      <c r="AA111" s="54"/>
      <c r="AB111" s="54"/>
      <c r="AC111" s="54"/>
      <c r="AF111" s="54"/>
      <c r="AG111" s="54"/>
      <c r="AH111" s="54"/>
    </row>
    <row r="112" spans="1:34" x14ac:dyDescent="0.3">
      <c r="Q112" s="54"/>
      <c r="R112" s="54"/>
      <c r="S112" s="54"/>
      <c r="V112" s="54"/>
      <c r="W112" s="54"/>
      <c r="X112" s="54"/>
      <c r="AA112" s="54"/>
      <c r="AB112" s="54"/>
      <c r="AC112" s="54"/>
      <c r="AF112" s="54"/>
      <c r="AG112" s="54"/>
      <c r="AH112" s="54"/>
    </row>
    <row r="113" spans="17:34" x14ac:dyDescent="0.3">
      <c r="Q113" s="54"/>
      <c r="R113" s="54"/>
      <c r="S113" s="54"/>
      <c r="V113" s="54"/>
      <c r="W113" s="54"/>
      <c r="X113" s="54"/>
      <c r="AA113" s="54"/>
      <c r="AB113" s="54"/>
      <c r="AC113" s="54"/>
      <c r="AF113" s="54"/>
      <c r="AG113" s="54"/>
      <c r="AH113" s="54"/>
    </row>
    <row r="114" spans="17:34" x14ac:dyDescent="0.3">
      <c r="Q114" s="54"/>
      <c r="R114" s="54"/>
      <c r="S114" s="54"/>
      <c r="V114" s="54"/>
      <c r="W114" s="54"/>
      <c r="X114" s="54"/>
      <c r="AA114" s="54"/>
      <c r="AB114" s="54"/>
      <c r="AC114" s="54"/>
      <c r="AF114" s="54"/>
      <c r="AG114" s="54"/>
      <c r="AH114" s="54"/>
    </row>
    <row r="115" spans="17:34" x14ac:dyDescent="0.3">
      <c r="Q115" s="54"/>
      <c r="R115" s="54"/>
      <c r="S115" s="54"/>
      <c r="V115" s="54"/>
      <c r="W115" s="54"/>
      <c r="X115" s="54"/>
      <c r="AA115" s="54"/>
      <c r="AB115" s="54"/>
      <c r="AC115" s="54"/>
      <c r="AF115" s="54"/>
      <c r="AG115" s="54"/>
      <c r="AH115" s="54"/>
    </row>
    <row r="116" spans="17:34" x14ac:dyDescent="0.3">
      <c r="Q116" s="54"/>
      <c r="R116" s="54"/>
      <c r="S116" s="54"/>
      <c r="V116" s="54"/>
      <c r="W116" s="54"/>
      <c r="X116" s="54"/>
      <c r="AA116" s="54"/>
      <c r="AB116" s="54"/>
      <c r="AC116" s="54"/>
      <c r="AF116" s="54"/>
      <c r="AG116" s="54"/>
      <c r="AH116" s="54"/>
    </row>
    <row r="117" spans="17:34" x14ac:dyDescent="0.3">
      <c r="Q117" s="54"/>
      <c r="R117" s="54"/>
      <c r="S117" s="54"/>
      <c r="V117" s="54"/>
      <c r="W117" s="54"/>
      <c r="X117" s="54"/>
      <c r="AA117" s="54"/>
      <c r="AB117" s="54"/>
      <c r="AC117" s="54"/>
      <c r="AF117" s="54"/>
      <c r="AG117" s="54"/>
      <c r="AH117" s="54"/>
    </row>
    <row r="118" spans="17:34" x14ac:dyDescent="0.3">
      <c r="Q118" s="54"/>
      <c r="R118" s="54"/>
      <c r="S118" s="54"/>
      <c r="V118" s="54"/>
      <c r="W118" s="54"/>
      <c r="X118" s="54"/>
      <c r="AA118" s="54"/>
      <c r="AB118" s="54"/>
      <c r="AC118" s="54"/>
      <c r="AF118" s="54"/>
      <c r="AG118" s="54"/>
      <c r="AH118" s="54"/>
    </row>
    <row r="119" spans="17:34" x14ac:dyDescent="0.3">
      <c r="Q119" s="54"/>
      <c r="R119" s="54"/>
      <c r="S119" s="54"/>
      <c r="V119" s="54"/>
      <c r="W119" s="54"/>
      <c r="X119" s="54"/>
      <c r="AA119" s="54"/>
      <c r="AB119" s="54"/>
      <c r="AC119" s="54"/>
      <c r="AF119" s="54"/>
      <c r="AG119" s="54"/>
      <c r="AH119" s="54"/>
    </row>
    <row r="120" spans="17:34" x14ac:dyDescent="0.3">
      <c r="Q120" s="54"/>
      <c r="R120" s="54"/>
      <c r="S120" s="54"/>
      <c r="V120" s="54"/>
      <c r="W120" s="54"/>
      <c r="X120" s="54"/>
      <c r="AA120" s="54"/>
      <c r="AB120" s="54"/>
      <c r="AC120" s="54"/>
      <c r="AF120" s="54"/>
      <c r="AG120" s="54"/>
      <c r="AH120" s="54"/>
    </row>
    <row r="121" spans="17:34" x14ac:dyDescent="0.3">
      <c r="Q121" s="54"/>
      <c r="R121" s="54"/>
      <c r="S121" s="54"/>
      <c r="V121" s="54"/>
      <c r="W121" s="54"/>
      <c r="X121" s="54"/>
      <c r="AA121" s="54"/>
      <c r="AB121" s="54"/>
      <c r="AC121" s="54"/>
      <c r="AF121" s="54"/>
      <c r="AG121" s="54"/>
      <c r="AH121" s="54"/>
    </row>
    <row r="122" spans="17:34" x14ac:dyDescent="0.3">
      <c r="Q122" s="54"/>
      <c r="R122" s="54"/>
      <c r="S122" s="54"/>
      <c r="V122" s="54"/>
      <c r="W122" s="54"/>
      <c r="X122" s="54"/>
      <c r="AA122" s="54"/>
      <c r="AB122" s="54"/>
      <c r="AC122" s="54"/>
      <c r="AF122" s="54"/>
      <c r="AG122" s="54"/>
      <c r="AH122" s="54"/>
    </row>
    <row r="123" spans="17:34" x14ac:dyDescent="0.3">
      <c r="Q123" s="54"/>
      <c r="R123" s="54"/>
      <c r="S123" s="54"/>
      <c r="V123" s="54"/>
      <c r="W123" s="54"/>
      <c r="X123" s="54"/>
      <c r="AA123" s="54"/>
      <c r="AB123" s="54"/>
      <c r="AC123" s="54"/>
      <c r="AF123" s="54"/>
      <c r="AG123" s="54"/>
      <c r="AH123" s="54"/>
    </row>
    <row r="124" spans="17:34" x14ac:dyDescent="0.3">
      <c r="Q124" s="54"/>
      <c r="R124" s="54"/>
      <c r="S124" s="54"/>
      <c r="V124" s="54"/>
      <c r="W124" s="54"/>
      <c r="X124" s="54"/>
      <c r="AA124" s="54"/>
      <c r="AB124" s="54"/>
      <c r="AC124" s="54"/>
      <c r="AF124" s="54"/>
      <c r="AG124" s="54"/>
      <c r="AH124" s="54"/>
    </row>
    <row r="125" spans="17:34" x14ac:dyDescent="0.3">
      <c r="Q125" s="54"/>
      <c r="R125" s="54"/>
      <c r="S125" s="54"/>
      <c r="V125" s="54"/>
      <c r="W125" s="54"/>
      <c r="X125" s="54"/>
      <c r="AA125" s="54"/>
      <c r="AB125" s="54"/>
      <c r="AC125" s="54"/>
      <c r="AF125" s="54"/>
      <c r="AG125" s="54"/>
      <c r="AH125" s="54"/>
    </row>
    <row r="126" spans="17:34" x14ac:dyDescent="0.3">
      <c r="Q126" s="54"/>
      <c r="R126" s="54"/>
      <c r="S126" s="54"/>
      <c r="V126" s="54"/>
      <c r="W126" s="54"/>
      <c r="X126" s="54"/>
      <c r="AA126" s="54"/>
      <c r="AB126" s="54"/>
      <c r="AC126" s="54"/>
      <c r="AF126" s="54"/>
      <c r="AG126" s="54"/>
      <c r="AH126" s="54"/>
    </row>
    <row r="127" spans="17:34" x14ac:dyDescent="0.3">
      <c r="Q127" s="54"/>
      <c r="R127" s="54"/>
      <c r="S127" s="54"/>
      <c r="V127" s="54"/>
      <c r="W127" s="54"/>
      <c r="X127" s="54"/>
      <c r="AA127" s="54"/>
      <c r="AB127" s="54"/>
      <c r="AC127" s="54"/>
      <c r="AF127" s="54"/>
      <c r="AG127" s="54"/>
      <c r="AH127" s="54"/>
    </row>
    <row r="128" spans="17:34" x14ac:dyDescent="0.3">
      <c r="Q128" s="54"/>
      <c r="R128" s="54"/>
      <c r="S128" s="54"/>
      <c r="V128" s="54"/>
      <c r="W128" s="54"/>
      <c r="X128" s="54"/>
      <c r="AA128" s="54"/>
      <c r="AB128" s="54"/>
      <c r="AC128" s="54"/>
      <c r="AF128" s="54"/>
      <c r="AG128" s="54"/>
      <c r="AH128" s="54"/>
    </row>
    <row r="129" spans="17:34" x14ac:dyDescent="0.3">
      <c r="Q129" s="54"/>
      <c r="R129" s="54"/>
      <c r="S129" s="54"/>
      <c r="V129" s="54"/>
      <c r="W129" s="54"/>
      <c r="X129" s="54"/>
      <c r="AA129" s="54"/>
      <c r="AB129" s="54"/>
      <c r="AC129" s="54"/>
      <c r="AF129" s="54"/>
      <c r="AG129" s="54"/>
      <c r="AH129" s="54"/>
    </row>
    <row r="130" spans="17:34" x14ac:dyDescent="0.3">
      <c r="Q130" s="54"/>
      <c r="R130" s="54"/>
      <c r="S130" s="54"/>
      <c r="V130" s="54"/>
      <c r="W130" s="54"/>
      <c r="X130" s="54"/>
      <c r="AA130" s="54"/>
      <c r="AB130" s="54"/>
      <c r="AC130" s="54"/>
      <c r="AF130" s="54"/>
      <c r="AG130" s="54"/>
      <c r="AH130" s="54"/>
    </row>
    <row r="131" spans="17:34" x14ac:dyDescent="0.3">
      <c r="Q131" s="54"/>
      <c r="R131" s="54"/>
      <c r="S131" s="54"/>
      <c r="V131" s="54"/>
      <c r="W131" s="54"/>
      <c r="X131" s="54"/>
      <c r="AA131" s="54"/>
      <c r="AB131" s="54"/>
      <c r="AC131" s="54"/>
      <c r="AF131" s="54"/>
      <c r="AG131" s="54"/>
      <c r="AH131" s="54"/>
    </row>
    <row r="132" spans="17:34" x14ac:dyDescent="0.3">
      <c r="Q132" s="54"/>
      <c r="R132" s="54"/>
      <c r="S132" s="54"/>
      <c r="V132" s="54"/>
      <c r="W132" s="54"/>
      <c r="X132" s="54"/>
      <c r="AA132" s="54"/>
      <c r="AB132" s="54"/>
      <c r="AC132" s="54"/>
      <c r="AF132" s="54"/>
      <c r="AG132" s="54"/>
      <c r="AH132" s="54"/>
    </row>
    <row r="133" spans="17:34" x14ac:dyDescent="0.3">
      <c r="Q133" s="54"/>
      <c r="R133" s="54"/>
      <c r="S133" s="54"/>
      <c r="V133" s="54"/>
      <c r="W133" s="54"/>
      <c r="X133" s="54"/>
      <c r="AA133" s="54"/>
      <c r="AB133" s="54"/>
      <c r="AC133" s="54"/>
      <c r="AF133" s="54"/>
      <c r="AG133" s="54"/>
      <c r="AH133" s="54"/>
    </row>
    <row r="134" spans="17:34" x14ac:dyDescent="0.3">
      <c r="Q134" s="54"/>
      <c r="R134" s="54"/>
      <c r="S134" s="54"/>
      <c r="V134" s="54"/>
      <c r="W134" s="54"/>
      <c r="X134" s="54"/>
      <c r="AA134" s="54"/>
      <c r="AB134" s="54"/>
      <c r="AC134" s="54"/>
      <c r="AF134" s="54"/>
      <c r="AG134" s="54"/>
      <c r="AH134" s="54"/>
    </row>
    <row r="135" spans="17:34" x14ac:dyDescent="0.3">
      <c r="Q135" s="54"/>
      <c r="R135" s="54"/>
      <c r="S135" s="54"/>
      <c r="V135" s="54"/>
      <c r="W135" s="54"/>
      <c r="X135" s="54"/>
      <c r="AA135" s="54"/>
      <c r="AB135" s="54"/>
      <c r="AC135" s="54"/>
      <c r="AF135" s="54"/>
      <c r="AG135" s="54"/>
      <c r="AH135" s="54"/>
    </row>
    <row r="136" spans="17:34" x14ac:dyDescent="0.3">
      <c r="Q136" s="54"/>
      <c r="R136" s="54"/>
      <c r="S136" s="54"/>
      <c r="V136" s="54"/>
      <c r="W136" s="54"/>
      <c r="X136" s="54"/>
      <c r="AA136" s="54"/>
      <c r="AB136" s="54"/>
      <c r="AC136" s="54"/>
      <c r="AF136" s="54"/>
      <c r="AG136" s="54"/>
      <c r="AH136" s="54"/>
    </row>
    <row r="137" spans="17:34" x14ac:dyDescent="0.3">
      <c r="Q137" s="54"/>
      <c r="R137" s="54"/>
      <c r="S137" s="54"/>
      <c r="V137" s="54"/>
      <c r="W137" s="54"/>
      <c r="X137" s="54"/>
      <c r="AA137" s="54"/>
      <c r="AB137" s="54"/>
      <c r="AC137" s="54"/>
      <c r="AF137" s="54"/>
      <c r="AG137" s="54"/>
      <c r="AH137" s="54"/>
    </row>
    <row r="138" spans="17:34" x14ac:dyDescent="0.3">
      <c r="Q138" s="54"/>
      <c r="R138" s="54"/>
      <c r="S138" s="54"/>
      <c r="V138" s="54"/>
      <c r="W138" s="54"/>
      <c r="X138" s="54"/>
      <c r="AA138" s="54"/>
      <c r="AB138" s="54"/>
      <c r="AC138" s="54"/>
      <c r="AF138" s="54"/>
      <c r="AG138" s="54"/>
      <c r="AH138" s="54"/>
    </row>
    <row r="139" spans="17:34" x14ac:dyDescent="0.3">
      <c r="Q139" s="54"/>
      <c r="R139" s="54"/>
      <c r="S139" s="54"/>
      <c r="V139" s="54"/>
      <c r="W139" s="54"/>
      <c r="X139" s="54"/>
      <c r="AA139" s="54"/>
      <c r="AB139" s="54"/>
      <c r="AC139" s="54"/>
      <c r="AF139" s="54"/>
      <c r="AG139" s="54"/>
      <c r="AH139" s="54"/>
    </row>
    <row r="140" spans="17:34" x14ac:dyDescent="0.3">
      <c r="Q140" s="54"/>
      <c r="R140" s="54"/>
      <c r="S140" s="54"/>
      <c r="V140" s="54"/>
      <c r="W140" s="54"/>
      <c r="X140" s="54"/>
      <c r="AA140" s="54"/>
      <c r="AB140" s="54"/>
      <c r="AC140" s="54"/>
      <c r="AF140" s="54"/>
      <c r="AG140" s="54"/>
      <c r="AH140" s="54"/>
    </row>
    <row r="141" spans="17:34" x14ac:dyDescent="0.3">
      <c r="Q141" s="54"/>
      <c r="R141" s="54"/>
      <c r="S141" s="54"/>
      <c r="V141" s="54"/>
      <c r="W141" s="54"/>
      <c r="X141" s="54"/>
      <c r="AA141" s="54"/>
      <c r="AB141" s="54"/>
      <c r="AC141" s="54"/>
      <c r="AF141" s="54"/>
      <c r="AG141" s="54"/>
      <c r="AH141" s="54"/>
    </row>
    <row r="142" spans="17:34" x14ac:dyDescent="0.3">
      <c r="Q142" s="54"/>
      <c r="R142" s="54"/>
      <c r="S142" s="54"/>
      <c r="V142" s="54"/>
      <c r="W142" s="54"/>
      <c r="X142" s="54"/>
      <c r="AA142" s="54"/>
      <c r="AB142" s="54"/>
      <c r="AC142" s="54"/>
      <c r="AF142" s="54"/>
      <c r="AG142" s="54"/>
      <c r="AH142" s="54"/>
    </row>
    <row r="143" spans="17:34" x14ac:dyDescent="0.3">
      <c r="Q143" s="54"/>
      <c r="R143" s="54"/>
      <c r="S143" s="54"/>
      <c r="V143" s="54"/>
      <c r="W143" s="54"/>
      <c r="X143" s="54"/>
      <c r="AA143" s="54"/>
      <c r="AB143" s="54"/>
      <c r="AC143" s="54"/>
      <c r="AF143" s="54"/>
      <c r="AG143" s="54"/>
      <c r="AH143" s="54"/>
    </row>
    <row r="144" spans="17:34" x14ac:dyDescent="0.3">
      <c r="Q144" s="54"/>
      <c r="R144" s="54"/>
      <c r="S144" s="54"/>
      <c r="V144" s="54"/>
      <c r="W144" s="54"/>
      <c r="X144" s="54"/>
      <c r="AA144" s="54"/>
      <c r="AB144" s="54"/>
      <c r="AC144" s="54"/>
      <c r="AF144" s="54"/>
      <c r="AG144" s="54"/>
      <c r="AH144" s="54"/>
    </row>
    <row r="145" spans="17:34" x14ac:dyDescent="0.3">
      <c r="Q145" s="54"/>
      <c r="R145" s="54"/>
      <c r="S145" s="54"/>
      <c r="V145" s="54"/>
      <c r="W145" s="54"/>
      <c r="X145" s="54"/>
      <c r="AA145" s="54"/>
      <c r="AB145" s="54"/>
      <c r="AC145" s="54"/>
      <c r="AF145" s="54"/>
      <c r="AG145" s="54"/>
      <c r="AH145" s="54"/>
    </row>
    <row r="146" spans="17:34" x14ac:dyDescent="0.3">
      <c r="Q146" s="54"/>
      <c r="R146" s="54"/>
      <c r="S146" s="54"/>
      <c r="V146" s="54"/>
      <c r="W146" s="54"/>
      <c r="X146" s="54"/>
      <c r="AA146" s="54"/>
      <c r="AB146" s="54"/>
      <c r="AC146" s="54"/>
      <c r="AF146" s="54"/>
      <c r="AG146" s="54"/>
      <c r="AH146" s="54"/>
    </row>
    <row r="147" spans="17:34" x14ac:dyDescent="0.3">
      <c r="Q147" s="54"/>
      <c r="R147" s="54"/>
      <c r="S147" s="54"/>
      <c r="V147" s="54"/>
      <c r="W147" s="54"/>
      <c r="X147" s="54"/>
      <c r="AA147" s="54"/>
      <c r="AB147" s="54"/>
      <c r="AC147" s="54"/>
      <c r="AF147" s="54"/>
      <c r="AG147" s="54"/>
      <c r="AH147" s="54"/>
    </row>
    <row r="148" spans="17:34" x14ac:dyDescent="0.3">
      <c r="Q148" s="54"/>
      <c r="R148" s="54"/>
      <c r="S148" s="54"/>
      <c r="V148" s="54"/>
      <c r="W148" s="54"/>
      <c r="X148" s="54"/>
      <c r="AA148" s="54"/>
      <c r="AB148" s="54"/>
      <c r="AC148" s="54"/>
      <c r="AF148" s="54"/>
      <c r="AG148" s="54"/>
      <c r="AH148" s="54"/>
    </row>
    <row r="149" spans="17:34" x14ac:dyDescent="0.3">
      <c r="Q149" s="54"/>
      <c r="R149" s="54"/>
      <c r="S149" s="54"/>
      <c r="V149" s="54"/>
      <c r="W149" s="54"/>
      <c r="X149" s="54"/>
      <c r="AA149" s="54"/>
      <c r="AB149" s="54"/>
      <c r="AC149" s="54"/>
      <c r="AF149" s="54"/>
      <c r="AG149" s="54"/>
      <c r="AH149" s="54"/>
    </row>
    <row r="150" spans="17:34" x14ac:dyDescent="0.3">
      <c r="Q150" s="54"/>
      <c r="R150" s="54"/>
      <c r="S150" s="54"/>
      <c r="V150" s="54"/>
      <c r="W150" s="54"/>
      <c r="X150" s="54"/>
      <c r="AA150" s="54"/>
      <c r="AB150" s="54"/>
      <c r="AC150" s="54"/>
      <c r="AF150" s="54"/>
      <c r="AG150" s="54"/>
      <c r="AH150" s="54"/>
    </row>
    <row r="151" spans="17:34" x14ac:dyDescent="0.3">
      <c r="Q151" s="54"/>
      <c r="R151" s="54"/>
      <c r="S151" s="54"/>
      <c r="V151" s="54"/>
      <c r="W151" s="54"/>
      <c r="X151" s="54"/>
      <c r="AA151" s="54"/>
      <c r="AB151" s="54"/>
      <c r="AC151" s="54"/>
      <c r="AF151" s="54"/>
      <c r="AG151" s="54"/>
      <c r="AH151" s="54"/>
    </row>
    <row r="152" spans="17:34" x14ac:dyDescent="0.3">
      <c r="Q152" s="54"/>
      <c r="R152" s="54"/>
      <c r="S152" s="54"/>
      <c r="V152" s="54"/>
      <c r="W152" s="54"/>
      <c r="X152" s="54"/>
      <c r="AA152" s="54"/>
      <c r="AB152" s="54"/>
      <c r="AC152" s="54"/>
      <c r="AF152" s="54"/>
      <c r="AG152" s="54"/>
      <c r="AH152" s="54"/>
    </row>
    <row r="153" spans="17:34" x14ac:dyDescent="0.3">
      <c r="Q153" s="54"/>
      <c r="R153" s="54"/>
      <c r="S153" s="54"/>
      <c r="V153" s="54"/>
      <c r="W153" s="54"/>
      <c r="X153" s="54"/>
      <c r="AA153" s="54"/>
      <c r="AB153" s="54"/>
      <c r="AC153" s="54"/>
      <c r="AF153" s="54"/>
      <c r="AG153" s="54"/>
      <c r="AH153" s="54"/>
    </row>
    <row r="154" spans="17:34" x14ac:dyDescent="0.3">
      <c r="Q154" s="54"/>
      <c r="R154" s="54"/>
      <c r="S154" s="54"/>
      <c r="V154" s="54"/>
      <c r="W154" s="54"/>
      <c r="X154" s="54"/>
      <c r="AA154" s="54"/>
      <c r="AB154" s="54"/>
      <c r="AC154" s="54"/>
      <c r="AF154" s="54"/>
      <c r="AG154" s="54"/>
      <c r="AH154" s="54"/>
    </row>
    <row r="155" spans="17:34" x14ac:dyDescent="0.3">
      <c r="Q155" s="54"/>
      <c r="R155" s="54"/>
      <c r="S155" s="54"/>
      <c r="V155" s="54"/>
      <c r="W155" s="54"/>
      <c r="X155" s="54"/>
      <c r="AA155" s="54"/>
      <c r="AB155" s="54"/>
      <c r="AC155" s="54"/>
      <c r="AF155" s="54"/>
      <c r="AG155" s="54"/>
      <c r="AH155" s="54"/>
    </row>
    <row r="156" spans="17:34" x14ac:dyDescent="0.3">
      <c r="Q156" s="54"/>
      <c r="R156" s="54"/>
      <c r="S156" s="54"/>
      <c r="V156" s="54"/>
      <c r="W156" s="54"/>
      <c r="X156" s="54"/>
      <c r="AA156" s="54"/>
      <c r="AB156" s="54"/>
      <c r="AC156" s="54"/>
      <c r="AF156" s="54"/>
      <c r="AG156" s="54"/>
      <c r="AH156" s="54"/>
    </row>
    <row r="157" spans="17:34" x14ac:dyDescent="0.3">
      <c r="Q157" s="54"/>
      <c r="R157" s="54"/>
      <c r="S157" s="54"/>
      <c r="V157" s="54"/>
      <c r="W157" s="54"/>
      <c r="X157" s="54"/>
      <c r="AA157" s="54"/>
      <c r="AB157" s="54"/>
      <c r="AC157" s="54"/>
      <c r="AF157" s="54"/>
      <c r="AG157" s="54"/>
      <c r="AH157" s="54"/>
    </row>
    <row r="158" spans="17:34" x14ac:dyDescent="0.3">
      <c r="Q158" s="54"/>
      <c r="R158" s="54"/>
      <c r="S158" s="54"/>
      <c r="V158" s="54"/>
      <c r="W158" s="54"/>
      <c r="X158" s="54"/>
      <c r="AA158" s="54"/>
      <c r="AB158" s="54"/>
      <c r="AC158" s="54"/>
      <c r="AF158" s="54"/>
      <c r="AG158" s="54"/>
      <c r="AH158" s="54"/>
    </row>
    <row r="159" spans="17:34" x14ac:dyDescent="0.3">
      <c r="Q159" s="54"/>
      <c r="R159" s="54"/>
      <c r="S159" s="54"/>
      <c r="V159" s="54"/>
      <c r="W159" s="54"/>
      <c r="X159" s="54"/>
      <c r="AA159" s="54"/>
      <c r="AB159" s="54"/>
      <c r="AC159" s="54"/>
      <c r="AF159" s="54"/>
      <c r="AG159" s="54"/>
      <c r="AH159" s="54"/>
    </row>
    <row r="160" spans="17:34" x14ac:dyDescent="0.3">
      <c r="Q160" s="54"/>
      <c r="R160" s="54"/>
      <c r="S160" s="54"/>
      <c r="V160" s="54"/>
      <c r="W160" s="54"/>
      <c r="X160" s="54"/>
      <c r="AA160" s="54"/>
      <c r="AB160" s="54"/>
      <c r="AC160" s="54"/>
      <c r="AF160" s="54"/>
      <c r="AG160" s="54"/>
      <c r="AH160" s="54"/>
    </row>
    <row r="161" spans="17:34" x14ac:dyDescent="0.3">
      <c r="Q161" s="54"/>
      <c r="R161" s="54"/>
      <c r="S161" s="54"/>
      <c r="V161" s="54"/>
      <c r="W161" s="54"/>
      <c r="X161" s="54"/>
      <c r="AA161" s="54"/>
      <c r="AB161" s="54"/>
      <c r="AC161" s="54"/>
      <c r="AF161" s="54"/>
      <c r="AG161" s="54"/>
      <c r="AH161" s="54"/>
    </row>
    <row r="162" spans="17:34" x14ac:dyDescent="0.3">
      <c r="Q162" s="54"/>
      <c r="R162" s="54"/>
      <c r="S162" s="54"/>
      <c r="V162" s="54"/>
      <c r="W162" s="54"/>
      <c r="X162" s="54"/>
      <c r="AA162" s="54"/>
      <c r="AB162" s="54"/>
      <c r="AC162" s="54"/>
      <c r="AF162" s="54"/>
      <c r="AG162" s="54"/>
      <c r="AH162" s="54"/>
    </row>
    <row r="163" spans="17:34" x14ac:dyDescent="0.3">
      <c r="Q163" s="54"/>
      <c r="R163" s="54"/>
      <c r="S163" s="54"/>
      <c r="V163" s="54"/>
      <c r="W163" s="54"/>
      <c r="X163" s="54"/>
      <c r="AA163" s="54"/>
      <c r="AB163" s="54"/>
      <c r="AC163" s="54"/>
      <c r="AF163" s="54"/>
      <c r="AG163" s="54"/>
      <c r="AH163" s="54"/>
    </row>
    <row r="164" spans="17:34" x14ac:dyDescent="0.3">
      <c r="Q164" s="54"/>
      <c r="R164" s="54"/>
      <c r="S164" s="54"/>
      <c r="V164" s="54"/>
      <c r="W164" s="54"/>
      <c r="X164" s="54"/>
      <c r="AA164" s="54"/>
      <c r="AB164" s="54"/>
      <c r="AC164" s="54"/>
      <c r="AF164" s="54"/>
      <c r="AG164" s="54"/>
      <c r="AH164" s="54"/>
    </row>
    <row r="165" spans="17:34" x14ac:dyDescent="0.3">
      <c r="Q165" s="54"/>
      <c r="R165" s="54"/>
      <c r="S165" s="54"/>
      <c r="V165" s="54"/>
      <c r="W165" s="54"/>
      <c r="X165" s="54"/>
      <c r="AA165" s="54"/>
      <c r="AB165" s="54"/>
      <c r="AC165" s="54"/>
      <c r="AF165" s="54"/>
      <c r="AG165" s="54"/>
      <c r="AH165" s="54"/>
    </row>
    <row r="166" spans="17:34" x14ac:dyDescent="0.3">
      <c r="Q166" s="54"/>
      <c r="R166" s="54"/>
      <c r="S166" s="54"/>
      <c r="V166" s="54"/>
      <c r="W166" s="54"/>
      <c r="X166" s="54"/>
      <c r="AA166" s="54"/>
      <c r="AB166" s="54"/>
      <c r="AC166" s="54"/>
      <c r="AF166" s="54"/>
      <c r="AG166" s="54"/>
      <c r="AH166" s="54"/>
    </row>
    <row r="167" spans="17:34" x14ac:dyDescent="0.3">
      <c r="Q167" s="54"/>
      <c r="R167" s="54"/>
      <c r="S167" s="54"/>
      <c r="V167" s="54"/>
      <c r="W167" s="54"/>
      <c r="X167" s="54"/>
      <c r="AA167" s="54"/>
      <c r="AB167" s="54"/>
      <c r="AC167" s="54"/>
      <c r="AF167" s="54"/>
      <c r="AG167" s="54"/>
      <c r="AH167" s="54"/>
    </row>
    <row r="168" spans="17:34" x14ac:dyDescent="0.3">
      <c r="Q168" s="54"/>
      <c r="R168" s="54"/>
      <c r="S168" s="54"/>
      <c r="V168" s="54"/>
      <c r="W168" s="54"/>
      <c r="X168" s="54"/>
      <c r="AA168" s="54"/>
      <c r="AB168" s="54"/>
      <c r="AC168" s="54"/>
      <c r="AF168" s="54"/>
      <c r="AG168" s="54"/>
      <c r="AH168" s="54"/>
    </row>
    <row r="169" spans="17:34" x14ac:dyDescent="0.3">
      <c r="Q169" s="54"/>
      <c r="R169" s="54"/>
      <c r="S169" s="54"/>
      <c r="V169" s="54"/>
      <c r="W169" s="54"/>
      <c r="X169" s="54"/>
      <c r="AA169" s="54"/>
      <c r="AB169" s="54"/>
      <c r="AC169" s="54"/>
      <c r="AF169" s="54"/>
      <c r="AG169" s="54"/>
      <c r="AH169" s="54"/>
    </row>
    <row r="170" spans="17:34" x14ac:dyDescent="0.3">
      <c r="Q170" s="54"/>
      <c r="R170" s="54"/>
      <c r="S170" s="54"/>
      <c r="V170" s="54"/>
      <c r="W170" s="54"/>
      <c r="X170" s="54"/>
      <c r="AA170" s="54"/>
      <c r="AB170" s="54"/>
      <c r="AC170" s="54"/>
      <c r="AF170" s="54"/>
      <c r="AG170" s="54"/>
      <c r="AH170" s="54"/>
    </row>
    <row r="171" spans="17:34" x14ac:dyDescent="0.3">
      <c r="Q171" s="54"/>
      <c r="R171" s="54"/>
      <c r="S171" s="54"/>
      <c r="V171" s="54"/>
      <c r="W171" s="54"/>
      <c r="X171" s="54"/>
      <c r="AA171" s="54"/>
      <c r="AB171" s="54"/>
      <c r="AC171" s="54"/>
      <c r="AF171" s="54"/>
      <c r="AG171" s="54"/>
      <c r="AH171" s="54"/>
    </row>
    <row r="172" spans="17:34" x14ac:dyDescent="0.3">
      <c r="Q172" s="54"/>
      <c r="R172" s="54"/>
      <c r="S172" s="54"/>
      <c r="V172" s="54"/>
      <c r="W172" s="54"/>
      <c r="X172" s="54"/>
      <c r="AA172" s="54"/>
      <c r="AB172" s="54"/>
      <c r="AC172" s="54"/>
      <c r="AF172" s="54"/>
      <c r="AG172" s="54"/>
      <c r="AH172" s="54"/>
    </row>
    <row r="173" spans="17:34" x14ac:dyDescent="0.3">
      <c r="Q173" s="54"/>
      <c r="R173" s="54"/>
      <c r="S173" s="54"/>
      <c r="V173" s="54"/>
      <c r="W173" s="54"/>
      <c r="X173" s="54"/>
      <c r="AA173" s="54"/>
      <c r="AB173" s="54"/>
      <c r="AC173" s="54"/>
      <c r="AF173" s="54"/>
      <c r="AG173" s="54"/>
      <c r="AH173" s="54"/>
    </row>
    <row r="174" spans="17:34" x14ac:dyDescent="0.3">
      <c r="Q174" s="54"/>
      <c r="R174" s="54"/>
      <c r="S174" s="54"/>
      <c r="V174" s="54"/>
      <c r="W174" s="54"/>
      <c r="X174" s="54"/>
      <c r="AA174" s="54"/>
      <c r="AB174" s="54"/>
      <c r="AC174" s="54"/>
      <c r="AF174" s="54"/>
      <c r="AG174" s="54"/>
      <c r="AH174" s="54"/>
    </row>
    <row r="175" spans="17:34" x14ac:dyDescent="0.3">
      <c r="Q175" s="54"/>
      <c r="R175" s="54"/>
      <c r="S175" s="54"/>
      <c r="V175" s="54"/>
      <c r="W175" s="54"/>
      <c r="X175" s="54"/>
      <c r="AA175" s="54"/>
      <c r="AB175" s="54"/>
      <c r="AC175" s="54"/>
      <c r="AF175" s="54"/>
      <c r="AG175" s="54"/>
      <c r="AH175" s="54"/>
    </row>
    <row r="176" spans="17:34" x14ac:dyDescent="0.3">
      <c r="Q176" s="54"/>
      <c r="R176" s="54"/>
      <c r="S176" s="54"/>
      <c r="V176" s="54"/>
      <c r="W176" s="54"/>
      <c r="X176" s="54"/>
      <c r="AA176" s="54"/>
      <c r="AB176" s="54"/>
      <c r="AC176" s="54"/>
      <c r="AF176" s="54"/>
      <c r="AG176" s="54"/>
      <c r="AH176" s="54"/>
    </row>
    <row r="177" spans="17:34" x14ac:dyDescent="0.3">
      <c r="Q177" s="54"/>
      <c r="R177" s="54"/>
      <c r="S177" s="54"/>
      <c r="V177" s="54"/>
      <c r="W177" s="54"/>
      <c r="X177" s="54"/>
      <c r="AA177" s="54"/>
      <c r="AB177" s="54"/>
      <c r="AC177" s="54"/>
      <c r="AF177" s="54"/>
      <c r="AG177" s="54"/>
      <c r="AH177" s="54"/>
    </row>
    <row r="178" spans="17:34" x14ac:dyDescent="0.3">
      <c r="Q178" s="54"/>
      <c r="R178" s="54"/>
      <c r="S178" s="54"/>
      <c r="V178" s="54"/>
      <c r="W178" s="54"/>
      <c r="X178" s="54"/>
      <c r="AA178" s="54"/>
      <c r="AB178" s="54"/>
      <c r="AC178" s="54"/>
      <c r="AF178" s="54"/>
      <c r="AG178" s="54"/>
      <c r="AH178" s="54"/>
    </row>
    <row r="179" spans="17:34" x14ac:dyDescent="0.3">
      <c r="Q179" s="54"/>
      <c r="R179" s="54"/>
      <c r="S179" s="54"/>
      <c r="V179" s="54"/>
      <c r="W179" s="54"/>
      <c r="X179" s="54"/>
      <c r="AA179" s="54"/>
      <c r="AB179" s="54"/>
      <c r="AC179" s="54"/>
      <c r="AF179" s="54"/>
      <c r="AG179" s="54"/>
      <c r="AH179" s="54"/>
    </row>
    <row r="180" spans="17:34" x14ac:dyDescent="0.3">
      <c r="Q180" s="54"/>
      <c r="R180" s="54"/>
      <c r="S180" s="54"/>
      <c r="V180" s="54"/>
      <c r="W180" s="54"/>
      <c r="X180" s="54"/>
      <c r="AA180" s="54"/>
      <c r="AB180" s="54"/>
      <c r="AC180" s="54"/>
      <c r="AF180" s="54"/>
      <c r="AG180" s="54"/>
      <c r="AH180" s="54"/>
    </row>
    <row r="181" spans="17:34" x14ac:dyDescent="0.3">
      <c r="Q181" s="54"/>
      <c r="R181" s="54"/>
      <c r="S181" s="54"/>
      <c r="V181" s="54"/>
      <c r="W181" s="54"/>
      <c r="X181" s="54"/>
      <c r="AA181" s="54"/>
      <c r="AB181" s="54"/>
      <c r="AC181" s="54"/>
      <c r="AF181" s="54"/>
      <c r="AG181" s="54"/>
      <c r="AH181" s="54"/>
    </row>
    <row r="182" spans="17:34" x14ac:dyDescent="0.3">
      <c r="Q182" s="54"/>
      <c r="R182" s="54"/>
      <c r="S182" s="54"/>
      <c r="V182" s="54"/>
      <c r="W182" s="54"/>
      <c r="X182" s="54"/>
      <c r="AA182" s="54"/>
      <c r="AB182" s="54"/>
      <c r="AC182" s="54"/>
      <c r="AF182" s="54"/>
      <c r="AG182" s="54"/>
      <c r="AH182" s="54"/>
    </row>
    <row r="183" spans="17:34" x14ac:dyDescent="0.3">
      <c r="Q183" s="54"/>
      <c r="R183" s="54"/>
      <c r="S183" s="54"/>
      <c r="V183" s="54"/>
      <c r="W183" s="54"/>
      <c r="X183" s="54"/>
      <c r="AA183" s="54"/>
      <c r="AB183" s="54"/>
      <c r="AC183" s="54"/>
      <c r="AF183" s="54"/>
      <c r="AG183" s="54"/>
      <c r="AH183" s="54"/>
    </row>
    <row r="184" spans="17:34" x14ac:dyDescent="0.3">
      <c r="Q184" s="54"/>
      <c r="R184" s="54"/>
      <c r="S184" s="54"/>
      <c r="V184" s="54"/>
      <c r="W184" s="54"/>
      <c r="X184" s="54"/>
      <c r="AA184" s="54"/>
      <c r="AB184" s="54"/>
      <c r="AC184" s="54"/>
      <c r="AF184" s="54"/>
      <c r="AG184" s="54"/>
      <c r="AH184" s="54"/>
    </row>
    <row r="185" spans="17:34" x14ac:dyDescent="0.3">
      <c r="Q185" s="54"/>
      <c r="R185" s="54"/>
      <c r="S185" s="54"/>
      <c r="V185" s="54"/>
      <c r="W185" s="54"/>
      <c r="X185" s="54"/>
      <c r="AA185" s="54"/>
      <c r="AB185" s="54"/>
      <c r="AC185" s="54"/>
      <c r="AF185" s="54"/>
      <c r="AG185" s="54"/>
      <c r="AH185" s="54"/>
    </row>
    <row r="186" spans="17:34" x14ac:dyDescent="0.3">
      <c r="Q186" s="54"/>
      <c r="R186" s="54"/>
      <c r="S186" s="54"/>
      <c r="V186" s="54"/>
      <c r="W186" s="54"/>
      <c r="X186" s="54"/>
      <c r="AA186" s="54"/>
      <c r="AB186" s="54"/>
      <c r="AC186" s="54"/>
      <c r="AF186" s="54"/>
      <c r="AG186" s="54"/>
      <c r="AH186" s="54"/>
    </row>
    <row r="187" spans="17:34" x14ac:dyDescent="0.3">
      <c r="Q187" s="54"/>
      <c r="R187" s="54"/>
      <c r="S187" s="54"/>
      <c r="V187" s="54"/>
      <c r="W187" s="54"/>
      <c r="X187" s="54"/>
      <c r="AA187" s="54"/>
      <c r="AB187" s="54"/>
      <c r="AC187" s="54"/>
      <c r="AF187" s="54"/>
      <c r="AG187" s="54"/>
      <c r="AH187" s="54"/>
    </row>
    <row r="188" spans="17:34" x14ac:dyDescent="0.3">
      <c r="Q188" s="54"/>
      <c r="R188" s="54"/>
      <c r="S188" s="54"/>
      <c r="V188" s="54"/>
      <c r="W188" s="54"/>
      <c r="X188" s="54"/>
      <c r="AA188" s="54"/>
      <c r="AB188" s="54"/>
      <c r="AC188" s="54"/>
      <c r="AF188" s="54"/>
      <c r="AG188" s="54"/>
      <c r="AH188" s="54"/>
    </row>
    <row r="189" spans="17:34" x14ac:dyDescent="0.3">
      <c r="Q189" s="54"/>
      <c r="R189" s="54"/>
      <c r="S189" s="54"/>
      <c r="V189" s="54"/>
      <c r="W189" s="54"/>
      <c r="X189" s="54"/>
      <c r="AA189" s="54"/>
      <c r="AB189" s="54"/>
      <c r="AC189" s="54"/>
      <c r="AF189" s="54"/>
      <c r="AG189" s="54"/>
      <c r="AH189" s="54"/>
    </row>
    <row r="190" spans="17:34" x14ac:dyDescent="0.3">
      <c r="Q190" s="54"/>
      <c r="R190" s="54"/>
      <c r="S190" s="54"/>
      <c r="V190" s="54"/>
      <c r="W190" s="54"/>
      <c r="X190" s="54"/>
      <c r="AA190" s="54"/>
      <c r="AB190" s="54"/>
      <c r="AC190" s="54"/>
      <c r="AF190" s="54"/>
      <c r="AG190" s="54"/>
      <c r="AH190" s="54"/>
    </row>
    <row r="191" spans="17:34" x14ac:dyDescent="0.3">
      <c r="Q191" s="54"/>
      <c r="R191" s="54"/>
      <c r="S191" s="54"/>
      <c r="V191" s="54"/>
      <c r="W191" s="54"/>
      <c r="X191" s="54"/>
      <c r="AA191" s="54"/>
      <c r="AB191" s="54"/>
      <c r="AC191" s="54"/>
      <c r="AF191" s="54"/>
      <c r="AG191" s="54"/>
      <c r="AH191" s="54"/>
    </row>
    <row r="192" spans="17:34" x14ac:dyDescent="0.3">
      <c r="Q192" s="54"/>
      <c r="R192" s="54"/>
      <c r="S192" s="54"/>
      <c r="V192" s="54"/>
      <c r="W192" s="54"/>
      <c r="X192" s="54"/>
      <c r="AA192" s="54"/>
      <c r="AB192" s="54"/>
      <c r="AC192" s="54"/>
      <c r="AF192" s="54"/>
      <c r="AG192" s="54"/>
      <c r="AH192" s="54"/>
    </row>
    <row r="193" spans="17:34" x14ac:dyDescent="0.3">
      <c r="Q193" s="54"/>
      <c r="R193" s="54"/>
      <c r="S193" s="54"/>
      <c r="V193" s="54"/>
      <c r="W193" s="54"/>
      <c r="X193" s="54"/>
      <c r="AA193" s="54"/>
      <c r="AB193" s="54"/>
      <c r="AC193" s="54"/>
      <c r="AF193" s="54"/>
      <c r="AG193" s="54"/>
      <c r="AH193" s="54"/>
    </row>
    <row r="194" spans="17:34" x14ac:dyDescent="0.3">
      <c r="Q194" s="54"/>
      <c r="R194" s="54"/>
      <c r="S194" s="54"/>
      <c r="V194" s="54"/>
      <c r="W194" s="54"/>
      <c r="X194" s="54"/>
      <c r="AA194" s="54"/>
      <c r="AB194" s="54"/>
      <c r="AC194" s="54"/>
      <c r="AF194" s="54"/>
      <c r="AG194" s="54"/>
      <c r="AH194" s="54"/>
    </row>
    <row r="195" spans="17:34" x14ac:dyDescent="0.3">
      <c r="Q195" s="54"/>
      <c r="R195" s="54"/>
      <c r="S195" s="54"/>
      <c r="V195" s="54"/>
      <c r="W195" s="54"/>
      <c r="X195" s="54"/>
      <c r="AA195" s="54"/>
      <c r="AB195" s="54"/>
      <c r="AC195" s="54"/>
      <c r="AF195" s="54"/>
      <c r="AG195" s="54"/>
      <c r="AH195" s="54"/>
    </row>
    <row r="196" spans="17:34" x14ac:dyDescent="0.3">
      <c r="Q196" s="54"/>
      <c r="R196" s="54"/>
      <c r="S196" s="54"/>
      <c r="V196" s="54"/>
      <c r="W196" s="54"/>
      <c r="X196" s="54"/>
      <c r="AA196" s="54"/>
      <c r="AB196" s="54"/>
      <c r="AC196" s="54"/>
      <c r="AF196" s="54"/>
      <c r="AG196" s="54"/>
      <c r="AH196" s="54"/>
    </row>
    <row r="197" spans="17:34" x14ac:dyDescent="0.3">
      <c r="Q197" s="54"/>
      <c r="R197" s="54"/>
      <c r="S197" s="54"/>
      <c r="V197" s="54"/>
      <c r="W197" s="54"/>
      <c r="X197" s="54"/>
      <c r="AA197" s="54"/>
      <c r="AB197" s="54"/>
      <c r="AC197" s="54"/>
      <c r="AF197" s="54"/>
      <c r="AG197" s="54"/>
      <c r="AH197" s="54"/>
    </row>
    <row r="198" spans="17:34" x14ac:dyDescent="0.3">
      <c r="Q198" s="54"/>
      <c r="R198" s="54"/>
      <c r="S198" s="54"/>
      <c r="V198" s="54"/>
      <c r="W198" s="54"/>
      <c r="X198" s="54"/>
      <c r="AA198" s="54"/>
      <c r="AB198" s="54"/>
      <c r="AC198" s="54"/>
      <c r="AF198" s="54"/>
      <c r="AG198" s="54"/>
      <c r="AH198" s="54"/>
    </row>
    <row r="199" spans="17:34" x14ac:dyDescent="0.3">
      <c r="Q199" s="54"/>
      <c r="R199" s="54"/>
      <c r="S199" s="54"/>
      <c r="V199" s="54"/>
      <c r="W199" s="54"/>
      <c r="X199" s="54"/>
      <c r="AA199" s="54"/>
      <c r="AB199" s="54"/>
      <c r="AC199" s="54"/>
      <c r="AF199" s="54"/>
      <c r="AG199" s="54"/>
      <c r="AH199" s="54"/>
    </row>
    <row r="200" spans="17:34" x14ac:dyDescent="0.3">
      <c r="Q200" s="54"/>
      <c r="R200" s="54"/>
      <c r="S200" s="54"/>
      <c r="V200" s="54"/>
      <c r="W200" s="54"/>
      <c r="X200" s="54"/>
      <c r="AA200" s="54"/>
      <c r="AB200" s="54"/>
      <c r="AC200" s="54"/>
      <c r="AF200" s="54"/>
      <c r="AG200" s="54"/>
      <c r="AH200" s="54"/>
    </row>
    <row r="201" spans="17:34" x14ac:dyDescent="0.3">
      <c r="Q201" s="54"/>
      <c r="R201" s="54"/>
      <c r="S201" s="54"/>
      <c r="V201" s="54"/>
      <c r="W201" s="54"/>
      <c r="X201" s="54"/>
      <c r="AA201" s="54"/>
      <c r="AB201" s="54"/>
      <c r="AC201" s="54"/>
      <c r="AF201" s="54"/>
      <c r="AG201" s="54"/>
      <c r="AH201" s="54"/>
    </row>
    <row r="202" spans="17:34" x14ac:dyDescent="0.3">
      <c r="Q202" s="54"/>
      <c r="R202" s="54"/>
      <c r="S202" s="54"/>
      <c r="V202" s="54"/>
      <c r="W202" s="54"/>
      <c r="X202" s="54"/>
      <c r="AA202" s="54"/>
      <c r="AB202" s="54"/>
      <c r="AC202" s="54"/>
      <c r="AF202" s="54"/>
      <c r="AG202" s="54"/>
      <c r="AH202" s="54"/>
    </row>
    <row r="203" spans="17:34" x14ac:dyDescent="0.3">
      <c r="Q203" s="54"/>
      <c r="R203" s="54"/>
      <c r="S203" s="54"/>
      <c r="V203" s="54"/>
      <c r="W203" s="54"/>
      <c r="X203" s="54"/>
      <c r="AA203" s="54"/>
      <c r="AB203" s="54"/>
      <c r="AC203" s="54"/>
      <c r="AF203" s="54"/>
      <c r="AG203" s="54"/>
      <c r="AH203" s="54"/>
    </row>
    <row r="204" spans="17:34" x14ac:dyDescent="0.3">
      <c r="Q204" s="54"/>
      <c r="R204" s="54"/>
      <c r="S204" s="54"/>
      <c r="V204" s="54"/>
      <c r="W204" s="54"/>
      <c r="X204" s="54"/>
      <c r="AA204" s="54"/>
      <c r="AB204" s="54"/>
      <c r="AC204" s="54"/>
      <c r="AF204" s="54"/>
      <c r="AG204" s="54"/>
      <c r="AH204" s="54"/>
    </row>
    <row r="205" spans="17:34" x14ac:dyDescent="0.3">
      <c r="Q205" s="54"/>
      <c r="R205" s="54"/>
      <c r="S205" s="54"/>
      <c r="V205" s="54"/>
      <c r="W205" s="54"/>
      <c r="X205" s="54"/>
      <c r="AA205" s="54"/>
      <c r="AB205" s="54"/>
      <c r="AC205" s="54"/>
      <c r="AF205" s="54"/>
      <c r="AG205" s="54"/>
      <c r="AH205" s="54"/>
    </row>
    <row r="206" spans="17:34" x14ac:dyDescent="0.3">
      <c r="Q206" s="54"/>
      <c r="R206" s="54"/>
      <c r="S206" s="54"/>
      <c r="V206" s="54"/>
      <c r="W206" s="54"/>
      <c r="X206" s="54"/>
      <c r="AA206" s="54"/>
      <c r="AB206" s="54"/>
      <c r="AC206" s="54"/>
      <c r="AF206" s="54"/>
      <c r="AG206" s="54"/>
      <c r="AH206" s="54"/>
    </row>
    <row r="207" spans="17:34" x14ac:dyDescent="0.3">
      <c r="Q207" s="54"/>
      <c r="R207" s="54"/>
      <c r="S207" s="54"/>
      <c r="V207" s="54"/>
      <c r="W207" s="54"/>
      <c r="X207" s="54"/>
      <c r="AA207" s="54"/>
      <c r="AB207" s="54"/>
      <c r="AC207" s="54"/>
      <c r="AF207" s="54"/>
      <c r="AG207" s="54"/>
      <c r="AH207" s="54"/>
    </row>
    <row r="208" spans="17:34" x14ac:dyDescent="0.3">
      <c r="Q208" s="54"/>
      <c r="R208" s="54"/>
      <c r="S208" s="54"/>
      <c r="V208" s="54"/>
      <c r="W208" s="54"/>
      <c r="X208" s="54"/>
      <c r="AA208" s="54"/>
      <c r="AB208" s="54"/>
      <c r="AC208" s="54"/>
      <c r="AF208" s="54"/>
      <c r="AG208" s="54"/>
      <c r="AH208" s="54"/>
    </row>
    <row r="209" spans="17:34" x14ac:dyDescent="0.3">
      <c r="Q209" s="54"/>
      <c r="R209" s="54"/>
      <c r="S209" s="54"/>
      <c r="V209" s="54"/>
      <c r="W209" s="54"/>
      <c r="X209" s="54"/>
      <c r="AA209" s="54"/>
      <c r="AB209" s="54"/>
      <c r="AC209" s="54"/>
      <c r="AF209" s="54"/>
      <c r="AG209" s="54"/>
      <c r="AH209" s="54"/>
    </row>
    <row r="210" spans="17:34" x14ac:dyDescent="0.3">
      <c r="Q210" s="54"/>
      <c r="R210" s="54"/>
      <c r="S210" s="54"/>
      <c r="V210" s="54"/>
      <c r="W210" s="54"/>
      <c r="X210" s="54"/>
      <c r="AA210" s="54"/>
      <c r="AB210" s="54"/>
      <c r="AC210" s="54"/>
      <c r="AF210" s="54"/>
      <c r="AG210" s="54"/>
      <c r="AH210" s="54"/>
    </row>
    <row r="211" spans="17:34" x14ac:dyDescent="0.3">
      <c r="Q211" s="54"/>
      <c r="R211" s="54"/>
      <c r="S211" s="54"/>
      <c r="V211" s="54"/>
      <c r="W211" s="54"/>
      <c r="X211" s="54"/>
      <c r="AA211" s="54"/>
      <c r="AB211" s="54"/>
      <c r="AC211" s="54"/>
      <c r="AF211" s="54"/>
      <c r="AG211" s="54"/>
      <c r="AH211" s="54"/>
    </row>
    <row r="212" spans="17:34" x14ac:dyDescent="0.3">
      <c r="Q212" s="54"/>
      <c r="R212" s="54"/>
      <c r="S212" s="54"/>
      <c r="V212" s="54"/>
      <c r="W212" s="54"/>
      <c r="X212" s="54"/>
      <c r="AA212" s="54"/>
      <c r="AB212" s="54"/>
      <c r="AC212" s="54"/>
      <c r="AF212" s="54"/>
      <c r="AG212" s="54"/>
      <c r="AH212" s="54"/>
    </row>
    <row r="213" spans="17:34" x14ac:dyDescent="0.3">
      <c r="Q213" s="54"/>
      <c r="R213" s="54"/>
      <c r="S213" s="54"/>
      <c r="V213" s="54"/>
      <c r="W213" s="54"/>
      <c r="X213" s="54"/>
      <c r="AA213" s="54"/>
      <c r="AB213" s="54"/>
      <c r="AC213" s="54"/>
      <c r="AF213" s="54"/>
      <c r="AG213" s="54"/>
      <c r="AH213" s="54"/>
    </row>
    <row r="214" spans="17:34" x14ac:dyDescent="0.3">
      <c r="Q214" s="54"/>
      <c r="R214" s="54"/>
      <c r="S214" s="54"/>
      <c r="V214" s="54"/>
      <c r="W214" s="54"/>
      <c r="X214" s="54"/>
      <c r="AA214" s="54"/>
      <c r="AB214" s="54"/>
      <c r="AC214" s="54"/>
      <c r="AF214" s="54"/>
      <c r="AG214" s="54"/>
      <c r="AH214" s="54"/>
    </row>
    <row r="215" spans="17:34" x14ac:dyDescent="0.3">
      <c r="Q215" s="54"/>
      <c r="R215" s="54"/>
      <c r="S215" s="54"/>
      <c r="V215" s="54"/>
      <c r="W215" s="54"/>
      <c r="X215" s="54"/>
      <c r="AA215" s="54"/>
      <c r="AB215" s="54"/>
      <c r="AC215" s="54"/>
      <c r="AF215" s="54"/>
      <c r="AG215" s="54"/>
      <c r="AH215" s="54"/>
    </row>
    <row r="216" spans="17:34" x14ac:dyDescent="0.3">
      <c r="Q216" s="54"/>
      <c r="R216" s="54"/>
      <c r="S216" s="54"/>
      <c r="V216" s="54"/>
      <c r="W216" s="54"/>
      <c r="X216" s="54"/>
      <c r="AA216" s="54"/>
      <c r="AB216" s="54"/>
      <c r="AC216" s="54"/>
      <c r="AF216" s="54"/>
      <c r="AG216" s="54"/>
      <c r="AH216" s="54"/>
    </row>
    <row r="217" spans="17:34" x14ac:dyDescent="0.3">
      <c r="Q217" s="54"/>
      <c r="R217" s="54"/>
      <c r="S217" s="54"/>
      <c r="V217" s="54"/>
      <c r="W217" s="54"/>
      <c r="X217" s="54"/>
      <c r="AA217" s="54"/>
      <c r="AB217" s="54"/>
      <c r="AC217" s="54"/>
      <c r="AF217" s="54"/>
      <c r="AG217" s="54"/>
      <c r="AH217" s="54"/>
    </row>
    <row r="218" spans="17:34" x14ac:dyDescent="0.3">
      <c r="Q218" s="54"/>
      <c r="R218" s="54"/>
      <c r="S218" s="54"/>
      <c r="V218" s="54"/>
      <c r="W218" s="54"/>
      <c r="X218" s="54"/>
      <c r="AA218" s="54"/>
      <c r="AB218" s="54"/>
      <c r="AC218" s="54"/>
      <c r="AF218" s="54"/>
      <c r="AG218" s="54"/>
      <c r="AH218" s="54"/>
    </row>
    <row r="219" spans="17:34" x14ac:dyDescent="0.3">
      <c r="Q219" s="54"/>
      <c r="R219" s="54"/>
      <c r="S219" s="54"/>
      <c r="V219" s="54"/>
      <c r="W219" s="54"/>
      <c r="X219" s="54"/>
      <c r="AA219" s="54"/>
      <c r="AB219" s="54"/>
      <c r="AC219" s="54"/>
      <c r="AF219" s="54"/>
      <c r="AG219" s="54"/>
      <c r="AH219" s="54"/>
    </row>
    <row r="220" spans="17:34" x14ac:dyDescent="0.3">
      <c r="Q220" s="54"/>
      <c r="R220" s="54"/>
      <c r="S220" s="54"/>
      <c r="V220" s="54"/>
      <c r="W220" s="54"/>
      <c r="X220" s="54"/>
      <c r="AA220" s="54"/>
      <c r="AB220" s="54"/>
      <c r="AC220" s="54"/>
      <c r="AF220" s="54"/>
      <c r="AG220" s="54"/>
      <c r="AH220" s="54"/>
    </row>
    <row r="221" spans="17:34" x14ac:dyDescent="0.3">
      <c r="Q221" s="54"/>
      <c r="R221" s="54"/>
      <c r="S221" s="54"/>
      <c r="V221" s="54"/>
      <c r="W221" s="54"/>
      <c r="X221" s="54"/>
      <c r="AA221" s="54"/>
      <c r="AB221" s="54"/>
      <c r="AC221" s="54"/>
      <c r="AF221" s="54"/>
      <c r="AG221" s="54"/>
      <c r="AH221" s="54"/>
    </row>
    <row r="222" spans="17:34" x14ac:dyDescent="0.3">
      <c r="Q222" s="54"/>
      <c r="R222" s="54"/>
      <c r="S222" s="54"/>
      <c r="V222" s="54"/>
      <c r="W222" s="54"/>
      <c r="X222" s="54"/>
      <c r="AA222" s="54"/>
      <c r="AB222" s="54"/>
      <c r="AC222" s="54"/>
      <c r="AF222" s="54"/>
      <c r="AG222" s="54"/>
      <c r="AH222" s="54"/>
    </row>
    <row r="223" spans="17:34" x14ac:dyDescent="0.3">
      <c r="Q223" s="54"/>
      <c r="R223" s="54"/>
      <c r="S223" s="54"/>
      <c r="V223" s="54"/>
      <c r="W223" s="54"/>
      <c r="X223" s="54"/>
      <c r="AA223" s="54"/>
      <c r="AB223" s="54"/>
      <c r="AC223" s="54"/>
      <c r="AF223" s="54"/>
      <c r="AG223" s="54"/>
      <c r="AH223" s="54"/>
    </row>
    <row r="224" spans="17:34" x14ac:dyDescent="0.3">
      <c r="Q224" s="54"/>
      <c r="R224" s="54"/>
      <c r="S224" s="54"/>
      <c r="V224" s="54"/>
      <c r="W224" s="54"/>
      <c r="X224" s="54"/>
      <c r="AA224" s="54"/>
      <c r="AB224" s="54"/>
      <c r="AC224" s="54"/>
      <c r="AF224" s="54"/>
      <c r="AG224" s="54"/>
      <c r="AH224" s="54"/>
    </row>
    <row r="225" spans="17:34" x14ac:dyDescent="0.3">
      <c r="Q225" s="54"/>
      <c r="R225" s="54"/>
      <c r="S225" s="54"/>
      <c r="V225" s="54"/>
      <c r="W225" s="54"/>
      <c r="X225" s="54"/>
      <c r="AA225" s="54"/>
      <c r="AB225" s="54"/>
      <c r="AC225" s="54"/>
      <c r="AF225" s="54"/>
      <c r="AG225" s="54"/>
      <c r="AH225" s="54"/>
    </row>
    <row r="226" spans="17:34" x14ac:dyDescent="0.3">
      <c r="Q226" s="54"/>
      <c r="R226" s="54"/>
      <c r="S226" s="54"/>
      <c r="V226" s="54"/>
      <c r="W226" s="54"/>
      <c r="X226" s="54"/>
      <c r="AA226" s="54"/>
      <c r="AB226" s="54"/>
      <c r="AC226" s="54"/>
      <c r="AF226" s="54"/>
      <c r="AG226" s="54"/>
      <c r="AH226" s="54"/>
    </row>
    <row r="227" spans="17:34" x14ac:dyDescent="0.3">
      <c r="Q227" s="54"/>
      <c r="R227" s="54"/>
      <c r="S227" s="54"/>
      <c r="V227" s="54"/>
      <c r="W227" s="54"/>
      <c r="X227" s="54"/>
      <c r="AA227" s="54"/>
      <c r="AB227" s="54"/>
      <c r="AC227" s="54"/>
      <c r="AF227" s="54"/>
      <c r="AG227" s="54"/>
      <c r="AH227" s="54"/>
    </row>
    <row r="228" spans="17:34" x14ac:dyDescent="0.3">
      <c r="Q228" s="54"/>
      <c r="R228" s="54"/>
      <c r="S228" s="54"/>
      <c r="V228" s="54"/>
      <c r="W228" s="54"/>
      <c r="X228" s="54"/>
      <c r="AA228" s="54"/>
      <c r="AB228" s="54"/>
      <c r="AC228" s="54"/>
      <c r="AF228" s="54"/>
      <c r="AG228" s="54"/>
      <c r="AH228" s="54"/>
    </row>
    <row r="229" spans="17:34" x14ac:dyDescent="0.3">
      <c r="Q229" s="54"/>
      <c r="R229" s="54"/>
      <c r="S229" s="54"/>
      <c r="V229" s="54"/>
      <c r="W229" s="54"/>
      <c r="X229" s="54"/>
      <c r="AA229" s="54"/>
      <c r="AB229" s="54"/>
      <c r="AC229" s="54"/>
      <c r="AF229" s="54"/>
      <c r="AG229" s="54"/>
      <c r="AH229" s="54"/>
    </row>
    <row r="230" spans="17:34" x14ac:dyDescent="0.3">
      <c r="Q230" s="54"/>
      <c r="R230" s="54"/>
      <c r="S230" s="54"/>
      <c r="V230" s="54"/>
      <c r="W230" s="54"/>
      <c r="X230" s="54"/>
      <c r="AA230" s="54"/>
      <c r="AB230" s="54"/>
      <c r="AC230" s="54"/>
      <c r="AF230" s="54"/>
      <c r="AG230" s="54"/>
      <c r="AH230" s="54"/>
    </row>
    <row r="231" spans="17:34" x14ac:dyDescent="0.3">
      <c r="Q231" s="54"/>
      <c r="R231" s="54"/>
      <c r="S231" s="54"/>
      <c r="V231" s="54"/>
      <c r="W231" s="54"/>
      <c r="X231" s="54"/>
      <c r="AA231" s="54"/>
      <c r="AB231" s="54"/>
      <c r="AC231" s="54"/>
      <c r="AF231" s="54"/>
      <c r="AG231" s="54"/>
      <c r="AH231" s="54"/>
    </row>
    <row r="232" spans="17:34" x14ac:dyDescent="0.3">
      <c r="Q232" s="54"/>
      <c r="R232" s="54"/>
      <c r="S232" s="54"/>
      <c r="V232" s="54"/>
      <c r="W232" s="54"/>
      <c r="X232" s="54"/>
      <c r="AA232" s="54"/>
      <c r="AB232" s="54"/>
      <c r="AC232" s="54"/>
      <c r="AF232" s="54"/>
      <c r="AG232" s="54"/>
      <c r="AH232" s="54"/>
    </row>
    <row r="233" spans="17:34" x14ac:dyDescent="0.3">
      <c r="Q233" s="54"/>
      <c r="R233" s="54"/>
      <c r="S233" s="54"/>
      <c r="V233" s="54"/>
      <c r="W233" s="54"/>
      <c r="X233" s="54"/>
      <c r="AA233" s="54"/>
      <c r="AB233" s="54"/>
      <c r="AC233" s="54"/>
      <c r="AF233" s="54"/>
      <c r="AG233" s="54"/>
      <c r="AH233" s="54"/>
    </row>
    <row r="234" spans="17:34" x14ac:dyDescent="0.3">
      <c r="Q234" s="54"/>
      <c r="R234" s="54"/>
      <c r="S234" s="54"/>
      <c r="V234" s="54"/>
      <c r="W234" s="54"/>
      <c r="X234" s="54"/>
      <c r="AA234" s="54"/>
      <c r="AB234" s="54"/>
      <c r="AC234" s="54"/>
      <c r="AF234" s="54"/>
      <c r="AG234" s="54"/>
      <c r="AH234" s="54"/>
    </row>
    <row r="235" spans="17:34" x14ac:dyDescent="0.3">
      <c r="Q235" s="54"/>
      <c r="R235" s="54"/>
      <c r="S235" s="54"/>
      <c r="V235" s="54"/>
      <c r="W235" s="54"/>
      <c r="X235" s="54"/>
      <c r="AA235" s="54"/>
      <c r="AB235" s="54"/>
      <c r="AC235" s="54"/>
      <c r="AF235" s="54"/>
      <c r="AG235" s="54"/>
      <c r="AH235" s="54"/>
    </row>
    <row r="236" spans="17:34" x14ac:dyDescent="0.3">
      <c r="Q236" s="54"/>
      <c r="R236" s="54"/>
      <c r="S236" s="54"/>
      <c r="V236" s="54"/>
      <c r="W236" s="54"/>
      <c r="X236" s="54"/>
      <c r="AA236" s="54"/>
      <c r="AB236" s="54"/>
      <c r="AC236" s="54"/>
      <c r="AF236" s="54"/>
      <c r="AG236" s="54"/>
      <c r="AH236" s="54"/>
    </row>
    <row r="237" spans="17:34" x14ac:dyDescent="0.3">
      <c r="Q237" s="54"/>
      <c r="R237" s="54"/>
      <c r="S237" s="54"/>
      <c r="V237" s="54"/>
      <c r="W237" s="54"/>
      <c r="X237" s="54"/>
      <c r="AA237" s="54"/>
      <c r="AB237" s="54"/>
      <c r="AC237" s="54"/>
      <c r="AF237" s="54"/>
      <c r="AG237" s="54"/>
      <c r="AH237" s="54"/>
    </row>
    <row r="238" spans="17:34" x14ac:dyDescent="0.3">
      <c r="Q238" s="54"/>
      <c r="R238" s="54"/>
      <c r="S238" s="54"/>
      <c r="V238" s="54"/>
      <c r="W238" s="54"/>
      <c r="X238" s="54"/>
      <c r="AA238" s="54"/>
      <c r="AB238" s="54"/>
      <c r="AC238" s="54"/>
      <c r="AF238" s="54"/>
      <c r="AG238" s="54"/>
      <c r="AH238" s="54"/>
    </row>
    <row r="239" spans="17:34" x14ac:dyDescent="0.3">
      <c r="Q239" s="54"/>
      <c r="R239" s="54"/>
      <c r="S239" s="54"/>
      <c r="V239" s="54"/>
      <c r="W239" s="54"/>
      <c r="X239" s="54"/>
      <c r="AA239" s="54"/>
      <c r="AB239" s="54"/>
      <c r="AC239" s="54"/>
      <c r="AF239" s="54"/>
      <c r="AG239" s="54"/>
      <c r="AH239" s="54"/>
    </row>
    <row r="240" spans="17:34" x14ac:dyDescent="0.3">
      <c r="Q240" s="54"/>
      <c r="R240" s="54"/>
      <c r="S240" s="54"/>
      <c r="V240" s="54"/>
      <c r="W240" s="54"/>
      <c r="X240" s="54"/>
      <c r="AA240" s="54"/>
      <c r="AB240" s="54"/>
      <c r="AC240" s="54"/>
      <c r="AF240" s="54"/>
      <c r="AG240" s="54"/>
      <c r="AH240" s="54"/>
    </row>
    <row r="241" spans="17:34" x14ac:dyDescent="0.3">
      <c r="Q241" s="54"/>
      <c r="R241" s="54"/>
      <c r="S241" s="54"/>
      <c r="V241" s="54"/>
      <c r="W241" s="54"/>
      <c r="X241" s="54"/>
      <c r="AA241" s="54"/>
      <c r="AB241" s="54"/>
      <c r="AC241" s="54"/>
      <c r="AF241" s="54"/>
      <c r="AG241" s="54"/>
      <c r="AH241" s="54"/>
    </row>
    <row r="242" spans="17:34" x14ac:dyDescent="0.3">
      <c r="Q242" s="54"/>
      <c r="R242" s="54"/>
      <c r="S242" s="54"/>
      <c r="V242" s="54"/>
      <c r="W242" s="54"/>
      <c r="X242" s="54"/>
      <c r="AA242" s="54"/>
      <c r="AB242" s="54"/>
      <c r="AC242" s="54"/>
      <c r="AF242" s="54"/>
      <c r="AG242" s="54"/>
      <c r="AH242" s="54"/>
    </row>
    <row r="243" spans="17:34" x14ac:dyDescent="0.3">
      <c r="Q243" s="54"/>
      <c r="R243" s="54"/>
      <c r="S243" s="54"/>
      <c r="V243" s="54"/>
      <c r="W243" s="54"/>
      <c r="X243" s="54"/>
      <c r="AA243" s="54"/>
      <c r="AB243" s="54"/>
      <c r="AC243" s="54"/>
      <c r="AF243" s="54"/>
      <c r="AG243" s="54"/>
      <c r="AH243" s="54"/>
    </row>
    <row r="244" spans="17:34" x14ac:dyDescent="0.3">
      <c r="Q244" s="54"/>
      <c r="R244" s="54"/>
      <c r="S244" s="54"/>
      <c r="V244" s="54"/>
      <c r="W244" s="54"/>
      <c r="X244" s="54"/>
      <c r="AA244" s="54"/>
      <c r="AB244" s="54"/>
      <c r="AC244" s="54"/>
      <c r="AF244" s="54"/>
      <c r="AG244" s="54"/>
      <c r="AH244" s="54"/>
    </row>
    <row r="245" spans="17:34" x14ac:dyDescent="0.3">
      <c r="Q245" s="54"/>
      <c r="R245" s="54"/>
      <c r="S245" s="54"/>
      <c r="V245" s="54"/>
      <c r="W245" s="54"/>
      <c r="X245" s="54"/>
      <c r="AA245" s="54"/>
      <c r="AB245" s="54"/>
      <c r="AC245" s="54"/>
      <c r="AF245" s="54"/>
      <c r="AG245" s="54"/>
      <c r="AH245" s="54"/>
    </row>
    <row r="246" spans="17:34" x14ac:dyDescent="0.3">
      <c r="Q246" s="54"/>
      <c r="R246" s="54"/>
      <c r="S246" s="54"/>
      <c r="V246" s="54"/>
      <c r="W246" s="54"/>
      <c r="X246" s="54"/>
      <c r="AA246" s="54"/>
      <c r="AB246" s="54"/>
      <c r="AC246" s="54"/>
      <c r="AF246" s="54"/>
      <c r="AG246" s="54"/>
      <c r="AH246" s="54"/>
    </row>
    <row r="247" spans="17:34" x14ac:dyDescent="0.3">
      <c r="Q247" s="54"/>
      <c r="R247" s="54"/>
      <c r="S247" s="54"/>
      <c r="V247" s="54"/>
      <c r="W247" s="54"/>
      <c r="X247" s="54"/>
      <c r="AA247" s="54"/>
      <c r="AB247" s="54"/>
      <c r="AC247" s="54"/>
      <c r="AF247" s="54"/>
      <c r="AG247" s="54"/>
      <c r="AH247" s="54"/>
    </row>
    <row r="248" spans="17:34" x14ac:dyDescent="0.3">
      <c r="Q248" s="54"/>
      <c r="R248" s="54"/>
      <c r="S248" s="54"/>
      <c r="V248" s="54"/>
      <c r="W248" s="54"/>
      <c r="X248" s="54"/>
      <c r="AA248" s="54"/>
      <c r="AB248" s="54"/>
      <c r="AC248" s="54"/>
      <c r="AF248" s="54"/>
      <c r="AG248" s="54"/>
      <c r="AH248" s="54"/>
    </row>
    <row r="249" spans="17:34" x14ac:dyDescent="0.3">
      <c r="Q249" s="54"/>
      <c r="R249" s="54"/>
      <c r="S249" s="54"/>
      <c r="V249" s="54"/>
      <c r="W249" s="54"/>
      <c r="X249" s="54"/>
      <c r="AA249" s="54"/>
      <c r="AB249" s="54"/>
      <c r="AC249" s="54"/>
      <c r="AF249" s="54"/>
      <c r="AG249" s="54"/>
      <c r="AH249" s="54"/>
    </row>
    <row r="250" spans="17:34" x14ac:dyDescent="0.3">
      <c r="Q250" s="54"/>
      <c r="R250" s="54"/>
      <c r="S250" s="54"/>
      <c r="V250" s="54"/>
      <c r="W250" s="54"/>
      <c r="X250" s="54"/>
      <c r="AA250" s="54"/>
      <c r="AB250" s="54"/>
      <c r="AC250" s="54"/>
      <c r="AF250" s="54"/>
      <c r="AG250" s="54"/>
      <c r="AH250" s="54"/>
    </row>
    <row r="251" spans="17:34" x14ac:dyDescent="0.3">
      <c r="Q251" s="54"/>
      <c r="R251" s="54"/>
      <c r="S251" s="54"/>
      <c r="V251" s="54"/>
      <c r="W251" s="54"/>
      <c r="X251" s="54"/>
      <c r="AA251" s="54"/>
      <c r="AB251" s="54"/>
      <c r="AC251" s="54"/>
      <c r="AF251" s="54"/>
      <c r="AG251" s="54"/>
      <c r="AH251" s="54"/>
    </row>
    <row r="252" spans="17:34" x14ac:dyDescent="0.3">
      <c r="Q252" s="54"/>
      <c r="R252" s="54"/>
      <c r="S252" s="54"/>
      <c r="V252" s="54"/>
      <c r="W252" s="54"/>
      <c r="X252" s="54"/>
      <c r="AA252" s="54"/>
      <c r="AB252" s="54"/>
      <c r="AC252" s="54"/>
      <c r="AF252" s="54"/>
      <c r="AG252" s="54"/>
      <c r="AH252" s="54"/>
    </row>
    <row r="253" spans="17:34" x14ac:dyDescent="0.3">
      <c r="Q253" s="54"/>
      <c r="R253" s="54"/>
      <c r="S253" s="54"/>
      <c r="V253" s="54"/>
      <c r="W253" s="54"/>
      <c r="X253" s="54"/>
      <c r="AA253" s="54"/>
      <c r="AB253" s="54"/>
      <c r="AC253" s="54"/>
      <c r="AF253" s="54"/>
      <c r="AG253" s="54"/>
      <c r="AH253" s="54"/>
    </row>
    <row r="254" spans="17:34" x14ac:dyDescent="0.3">
      <c r="Q254" s="54"/>
      <c r="R254" s="54"/>
      <c r="S254" s="54"/>
      <c r="V254" s="54"/>
      <c r="W254" s="54"/>
      <c r="X254" s="54"/>
      <c r="AA254" s="54"/>
      <c r="AB254" s="54"/>
      <c r="AC254" s="54"/>
      <c r="AF254" s="54"/>
      <c r="AG254" s="54"/>
      <c r="AH254" s="54"/>
    </row>
    <row r="255" spans="17:34" x14ac:dyDescent="0.3">
      <c r="Q255" s="54"/>
      <c r="R255" s="54"/>
      <c r="S255" s="54"/>
      <c r="V255" s="54"/>
      <c r="W255" s="54"/>
      <c r="X255" s="54"/>
      <c r="AA255" s="54"/>
      <c r="AB255" s="54"/>
      <c r="AC255" s="54"/>
      <c r="AF255" s="54"/>
      <c r="AG255" s="54"/>
      <c r="AH255" s="54"/>
    </row>
    <row r="256" spans="17:34" x14ac:dyDescent="0.3">
      <c r="Q256" s="54"/>
      <c r="R256" s="54"/>
      <c r="S256" s="54"/>
      <c r="V256" s="54"/>
      <c r="W256" s="54"/>
      <c r="X256" s="54"/>
      <c r="AA256" s="54"/>
      <c r="AB256" s="54"/>
      <c r="AC256" s="54"/>
      <c r="AF256" s="54"/>
      <c r="AG256" s="54"/>
      <c r="AH256" s="54"/>
    </row>
    <row r="257" spans="17:34" x14ac:dyDescent="0.3">
      <c r="Q257" s="54"/>
      <c r="R257" s="54"/>
      <c r="S257" s="54"/>
      <c r="V257" s="54"/>
      <c r="W257" s="54"/>
      <c r="X257" s="54"/>
      <c r="AA257" s="54"/>
      <c r="AB257" s="54"/>
      <c r="AC257" s="54"/>
      <c r="AF257" s="54"/>
      <c r="AG257" s="54"/>
      <c r="AH257" s="54"/>
    </row>
    <row r="258" spans="17:34" x14ac:dyDescent="0.3">
      <c r="Q258" s="54"/>
      <c r="R258" s="54"/>
      <c r="S258" s="54"/>
      <c r="V258" s="54"/>
      <c r="W258" s="54"/>
      <c r="X258" s="54"/>
      <c r="AA258" s="54"/>
      <c r="AB258" s="54"/>
      <c r="AC258" s="54"/>
      <c r="AF258" s="54"/>
      <c r="AG258" s="54"/>
      <c r="AH258" s="54"/>
    </row>
    <row r="259" spans="17:34" x14ac:dyDescent="0.3">
      <c r="Q259" s="54"/>
      <c r="R259" s="54"/>
      <c r="S259" s="54"/>
      <c r="V259" s="54"/>
      <c r="W259" s="54"/>
      <c r="X259" s="54"/>
      <c r="AA259" s="54"/>
      <c r="AB259" s="54"/>
      <c r="AC259" s="54"/>
      <c r="AF259" s="54"/>
      <c r="AG259" s="54"/>
      <c r="AH259" s="54"/>
    </row>
    <row r="260" spans="17:34" x14ac:dyDescent="0.3">
      <c r="Q260" s="54"/>
      <c r="R260" s="54"/>
      <c r="S260" s="54"/>
      <c r="V260" s="54"/>
      <c r="W260" s="54"/>
      <c r="X260" s="54"/>
      <c r="AA260" s="54"/>
      <c r="AB260" s="54"/>
      <c r="AC260" s="54"/>
      <c r="AF260" s="54"/>
      <c r="AG260" s="54"/>
      <c r="AH260" s="54"/>
    </row>
    <row r="261" spans="17:34" x14ac:dyDescent="0.3">
      <c r="Q261" s="54"/>
      <c r="R261" s="54"/>
      <c r="S261" s="54"/>
      <c r="V261" s="54"/>
      <c r="W261" s="54"/>
      <c r="X261" s="54"/>
      <c r="AA261" s="54"/>
      <c r="AB261" s="54"/>
      <c r="AC261" s="54"/>
      <c r="AF261" s="54"/>
      <c r="AG261" s="54"/>
      <c r="AH261" s="54"/>
    </row>
    <row r="262" spans="17:34" x14ac:dyDescent="0.3">
      <c r="Q262" s="54"/>
      <c r="R262" s="54"/>
      <c r="S262" s="54"/>
      <c r="V262" s="54"/>
      <c r="W262" s="54"/>
      <c r="X262" s="54"/>
      <c r="AA262" s="54"/>
      <c r="AB262" s="54"/>
      <c r="AC262" s="54"/>
      <c r="AF262" s="54"/>
      <c r="AG262" s="54"/>
      <c r="AH262" s="54"/>
    </row>
    <row r="263" spans="17:34" x14ac:dyDescent="0.3">
      <c r="Q263" s="54"/>
      <c r="R263" s="54"/>
      <c r="S263" s="54"/>
      <c r="V263" s="54"/>
      <c r="W263" s="54"/>
      <c r="X263" s="54"/>
      <c r="AA263" s="54"/>
      <c r="AB263" s="54"/>
      <c r="AC263" s="54"/>
      <c r="AF263" s="54"/>
      <c r="AG263" s="54"/>
      <c r="AH263" s="54"/>
    </row>
    <row r="264" spans="17:34" x14ac:dyDescent="0.3">
      <c r="Q264" s="54"/>
      <c r="R264" s="54"/>
      <c r="S264" s="54"/>
      <c r="V264" s="54"/>
      <c r="W264" s="54"/>
      <c r="X264" s="54"/>
      <c r="AA264" s="54"/>
      <c r="AB264" s="54"/>
      <c r="AC264" s="54"/>
      <c r="AF264" s="54"/>
      <c r="AG264" s="54"/>
      <c r="AH264" s="54"/>
    </row>
    <row r="265" spans="17:34" x14ac:dyDescent="0.3">
      <c r="Q265" s="54"/>
      <c r="R265" s="54"/>
      <c r="S265" s="54"/>
      <c r="V265" s="54"/>
      <c r="W265" s="54"/>
      <c r="X265" s="54"/>
      <c r="AA265" s="54"/>
      <c r="AB265" s="54"/>
      <c r="AC265" s="54"/>
      <c r="AF265" s="54"/>
      <c r="AG265" s="54"/>
      <c r="AH265" s="54"/>
    </row>
    <row r="266" spans="17:34" x14ac:dyDescent="0.3">
      <c r="Q266" s="54"/>
      <c r="R266" s="54"/>
      <c r="S266" s="54"/>
      <c r="V266" s="54"/>
      <c r="W266" s="54"/>
      <c r="X266" s="54"/>
      <c r="AA266" s="54"/>
      <c r="AB266" s="54"/>
      <c r="AC266" s="54"/>
      <c r="AF266" s="54"/>
      <c r="AG266" s="54"/>
      <c r="AH266" s="54"/>
    </row>
    <row r="267" spans="17:34" x14ac:dyDescent="0.3">
      <c r="Q267" s="54"/>
      <c r="R267" s="54"/>
      <c r="S267" s="54"/>
      <c r="V267" s="54"/>
      <c r="W267" s="54"/>
      <c r="X267" s="54"/>
      <c r="AA267" s="54"/>
      <c r="AB267" s="54"/>
      <c r="AC267" s="54"/>
      <c r="AF267" s="54"/>
      <c r="AG267" s="54"/>
      <c r="AH267" s="54"/>
    </row>
    <row r="268" spans="17:34" x14ac:dyDescent="0.3">
      <c r="Q268" s="54"/>
      <c r="R268" s="54"/>
      <c r="S268" s="54"/>
      <c r="V268" s="54"/>
      <c r="W268" s="54"/>
      <c r="X268" s="54"/>
      <c r="AA268" s="54"/>
      <c r="AB268" s="54"/>
      <c r="AC268" s="54"/>
      <c r="AF268" s="54"/>
      <c r="AG268" s="54"/>
      <c r="AH268" s="54"/>
    </row>
    <row r="269" spans="17:34" x14ac:dyDescent="0.3">
      <c r="Q269" s="54"/>
      <c r="R269" s="54"/>
      <c r="S269" s="54"/>
      <c r="V269" s="54"/>
      <c r="W269" s="54"/>
      <c r="X269" s="54"/>
      <c r="AA269" s="54"/>
      <c r="AB269" s="54"/>
      <c r="AC269" s="54"/>
      <c r="AF269" s="54"/>
      <c r="AG269" s="54"/>
      <c r="AH269" s="54"/>
    </row>
    <row r="270" spans="17:34" x14ac:dyDescent="0.3">
      <c r="Q270" s="54"/>
      <c r="R270" s="54"/>
      <c r="S270" s="54"/>
      <c r="V270" s="54"/>
      <c r="W270" s="54"/>
      <c r="X270" s="54"/>
      <c r="AA270" s="54"/>
      <c r="AB270" s="54"/>
      <c r="AC270" s="54"/>
      <c r="AF270" s="54"/>
      <c r="AG270" s="54"/>
      <c r="AH270" s="54"/>
    </row>
    <row r="271" spans="17:34" x14ac:dyDescent="0.3">
      <c r="Q271" s="54"/>
      <c r="R271" s="54"/>
      <c r="S271" s="54"/>
      <c r="V271" s="54"/>
      <c r="W271" s="54"/>
      <c r="X271" s="54"/>
      <c r="AA271" s="54"/>
      <c r="AB271" s="54"/>
      <c r="AC271" s="54"/>
      <c r="AF271" s="54"/>
      <c r="AG271" s="54"/>
      <c r="AH271" s="54"/>
    </row>
    <row r="272" spans="17:34" x14ac:dyDescent="0.3">
      <c r="Q272" s="54"/>
      <c r="R272" s="54"/>
      <c r="S272" s="54"/>
      <c r="V272" s="54"/>
      <c r="W272" s="54"/>
      <c r="X272" s="54"/>
      <c r="AA272" s="54"/>
      <c r="AB272" s="54"/>
      <c r="AC272" s="54"/>
      <c r="AF272" s="54"/>
      <c r="AG272" s="54"/>
      <c r="AH272" s="54"/>
    </row>
    <row r="273" spans="17:34" x14ac:dyDescent="0.3">
      <c r="Q273" s="54"/>
      <c r="R273" s="54"/>
      <c r="S273" s="54"/>
      <c r="V273" s="54"/>
      <c r="W273" s="54"/>
      <c r="X273" s="54"/>
      <c r="AA273" s="54"/>
      <c r="AB273" s="54"/>
      <c r="AC273" s="54"/>
      <c r="AF273" s="54"/>
      <c r="AG273" s="54"/>
      <c r="AH273" s="54"/>
    </row>
    <row r="274" spans="17:34" x14ac:dyDescent="0.3">
      <c r="Q274" s="54"/>
      <c r="R274" s="54"/>
      <c r="S274" s="54"/>
      <c r="V274" s="54"/>
      <c r="W274" s="54"/>
      <c r="X274" s="54"/>
      <c r="AA274" s="54"/>
      <c r="AB274" s="54"/>
      <c r="AC274" s="54"/>
      <c r="AF274" s="54"/>
      <c r="AG274" s="54"/>
      <c r="AH274" s="54"/>
    </row>
    <row r="275" spans="17:34" x14ac:dyDescent="0.3">
      <c r="Q275" s="54"/>
      <c r="R275" s="54"/>
      <c r="S275" s="54"/>
      <c r="V275" s="54"/>
      <c r="W275" s="54"/>
      <c r="X275" s="54"/>
      <c r="AA275" s="54"/>
      <c r="AB275" s="54"/>
      <c r="AC275" s="54"/>
      <c r="AF275" s="54"/>
      <c r="AG275" s="54"/>
      <c r="AH275" s="54"/>
    </row>
    <row r="276" spans="17:34" x14ac:dyDescent="0.3">
      <c r="Q276" s="54"/>
      <c r="R276" s="54"/>
      <c r="S276" s="54"/>
      <c r="V276" s="54"/>
      <c r="W276" s="54"/>
      <c r="X276" s="54"/>
      <c r="AA276" s="54"/>
      <c r="AB276" s="54"/>
      <c r="AC276" s="54"/>
      <c r="AF276" s="54"/>
      <c r="AG276" s="54"/>
      <c r="AH276" s="54"/>
    </row>
    <row r="277" spans="17:34" x14ac:dyDescent="0.3">
      <c r="Q277" s="54"/>
      <c r="R277" s="54"/>
      <c r="S277" s="54"/>
      <c r="V277" s="54"/>
      <c r="W277" s="54"/>
      <c r="X277" s="54"/>
      <c r="AA277" s="54"/>
      <c r="AB277" s="54"/>
      <c r="AC277" s="54"/>
      <c r="AF277" s="54"/>
      <c r="AG277" s="54"/>
      <c r="AH277" s="54"/>
    </row>
    <row r="278" spans="17:34" x14ac:dyDescent="0.3">
      <c r="Q278" s="54"/>
      <c r="R278" s="54"/>
      <c r="S278" s="54"/>
      <c r="V278" s="54"/>
      <c r="W278" s="54"/>
      <c r="X278" s="54"/>
      <c r="AA278" s="54"/>
      <c r="AB278" s="54"/>
      <c r="AC278" s="54"/>
      <c r="AF278" s="54"/>
      <c r="AG278" s="54"/>
      <c r="AH278" s="54"/>
    </row>
    <row r="279" spans="17:34" x14ac:dyDescent="0.3">
      <c r="Q279" s="54"/>
      <c r="R279" s="54"/>
      <c r="S279" s="54"/>
      <c r="V279" s="54"/>
      <c r="W279" s="54"/>
      <c r="X279" s="54"/>
      <c r="AA279" s="54"/>
      <c r="AB279" s="54"/>
      <c r="AC279" s="54"/>
      <c r="AF279" s="54"/>
      <c r="AG279" s="54"/>
      <c r="AH279" s="54"/>
    </row>
    <row r="280" spans="17:34" x14ac:dyDescent="0.3">
      <c r="Q280" s="54"/>
      <c r="R280" s="54"/>
      <c r="S280" s="54"/>
      <c r="V280" s="54"/>
      <c r="W280" s="54"/>
      <c r="X280" s="54"/>
      <c r="AA280" s="54"/>
      <c r="AB280" s="54"/>
      <c r="AC280" s="54"/>
      <c r="AF280" s="54"/>
      <c r="AG280" s="54"/>
      <c r="AH280" s="54"/>
    </row>
    <row r="281" spans="17:34" x14ac:dyDescent="0.3">
      <c r="Q281" s="54"/>
      <c r="R281" s="54"/>
      <c r="S281" s="54"/>
      <c r="V281" s="54"/>
      <c r="W281" s="54"/>
      <c r="X281" s="54"/>
      <c r="AA281" s="54"/>
      <c r="AB281" s="54"/>
      <c r="AC281" s="54"/>
      <c r="AF281" s="54"/>
      <c r="AG281" s="54"/>
      <c r="AH281" s="54"/>
    </row>
    <row r="282" spans="17:34" x14ac:dyDescent="0.3">
      <c r="Q282" s="54"/>
      <c r="R282" s="54"/>
      <c r="S282" s="54"/>
      <c r="V282" s="54"/>
      <c r="W282" s="54"/>
      <c r="X282" s="54"/>
      <c r="AA282" s="54"/>
      <c r="AB282" s="54"/>
      <c r="AC282" s="54"/>
      <c r="AF282" s="54"/>
      <c r="AG282" s="54"/>
      <c r="AH282" s="54"/>
    </row>
    <row r="283" spans="17:34" x14ac:dyDescent="0.3">
      <c r="Q283" s="54"/>
      <c r="R283" s="54"/>
      <c r="S283" s="54"/>
      <c r="V283" s="54"/>
      <c r="W283" s="54"/>
      <c r="X283" s="54"/>
      <c r="AA283" s="54"/>
      <c r="AB283" s="54"/>
      <c r="AC283" s="54"/>
      <c r="AF283" s="54"/>
      <c r="AG283" s="54"/>
      <c r="AH283" s="54"/>
    </row>
    <row r="284" spans="17:34" x14ac:dyDescent="0.3">
      <c r="Q284" s="54"/>
      <c r="R284" s="54"/>
      <c r="S284" s="54"/>
      <c r="V284" s="54"/>
      <c r="W284" s="54"/>
      <c r="X284" s="54"/>
      <c r="AA284" s="54"/>
      <c r="AB284" s="54"/>
      <c r="AC284" s="54"/>
      <c r="AF284" s="54"/>
      <c r="AG284" s="54"/>
      <c r="AH284" s="54"/>
    </row>
    <row r="285" spans="17:34" x14ac:dyDescent="0.3">
      <c r="Q285" s="54"/>
      <c r="R285" s="54"/>
      <c r="S285" s="54"/>
      <c r="V285" s="54"/>
      <c r="W285" s="54"/>
      <c r="X285" s="54"/>
      <c r="AA285" s="54"/>
      <c r="AB285" s="54"/>
      <c r="AC285" s="54"/>
      <c r="AF285" s="54"/>
      <c r="AG285" s="54"/>
      <c r="AH285" s="54"/>
    </row>
    <row r="286" spans="17:34" x14ac:dyDescent="0.3">
      <c r="Q286" s="54"/>
      <c r="R286" s="54"/>
      <c r="S286" s="54"/>
      <c r="V286" s="54"/>
      <c r="W286" s="54"/>
      <c r="X286" s="54"/>
      <c r="AA286" s="54"/>
      <c r="AB286" s="54"/>
      <c r="AC286" s="54"/>
      <c r="AF286" s="54"/>
      <c r="AG286" s="54"/>
      <c r="AH286" s="54"/>
    </row>
    <row r="287" spans="17:34" x14ac:dyDescent="0.3">
      <c r="Q287" s="54"/>
      <c r="R287" s="54"/>
      <c r="S287" s="54"/>
      <c r="V287" s="54"/>
      <c r="W287" s="54"/>
      <c r="X287" s="54"/>
      <c r="AA287" s="54"/>
      <c r="AB287" s="54"/>
      <c r="AC287" s="54"/>
      <c r="AF287" s="54"/>
      <c r="AG287" s="54"/>
      <c r="AH287" s="54"/>
    </row>
    <row r="288" spans="17:34" x14ac:dyDescent="0.3">
      <c r="Q288" s="54"/>
      <c r="R288" s="54"/>
      <c r="S288" s="54"/>
      <c r="V288" s="54"/>
      <c r="W288" s="54"/>
      <c r="X288" s="54"/>
      <c r="AA288" s="54"/>
      <c r="AB288" s="54"/>
      <c r="AC288" s="54"/>
      <c r="AF288" s="54"/>
      <c r="AG288" s="54"/>
      <c r="AH288" s="54"/>
    </row>
    <row r="289" spans="17:34" x14ac:dyDescent="0.3">
      <c r="Q289" s="54"/>
      <c r="R289" s="54"/>
      <c r="S289" s="54"/>
      <c r="V289" s="54"/>
      <c r="W289" s="54"/>
      <c r="X289" s="54"/>
      <c r="AA289" s="54"/>
      <c r="AB289" s="54"/>
      <c r="AC289" s="54"/>
      <c r="AF289" s="54"/>
      <c r="AG289" s="54"/>
      <c r="AH289" s="54"/>
    </row>
    <row r="290" spans="17:34" x14ac:dyDescent="0.3">
      <c r="Q290" s="54"/>
      <c r="R290" s="54"/>
      <c r="S290" s="54"/>
      <c r="V290" s="54"/>
      <c r="W290" s="54"/>
      <c r="X290" s="54"/>
      <c r="AA290" s="54"/>
      <c r="AB290" s="54"/>
      <c r="AC290" s="54"/>
      <c r="AF290" s="54"/>
      <c r="AG290" s="54"/>
      <c r="AH290" s="54"/>
    </row>
    <row r="291" spans="17:34" x14ac:dyDescent="0.3">
      <c r="Q291" s="54"/>
      <c r="R291" s="54"/>
      <c r="S291" s="54"/>
      <c r="V291" s="54"/>
      <c r="W291" s="54"/>
      <c r="X291" s="54"/>
      <c r="AA291" s="54"/>
      <c r="AB291" s="54"/>
      <c r="AC291" s="54"/>
      <c r="AF291" s="54"/>
      <c r="AG291" s="54"/>
      <c r="AH291" s="54"/>
    </row>
    <row r="292" spans="17:34" x14ac:dyDescent="0.3">
      <c r="Q292" s="54"/>
      <c r="R292" s="54"/>
      <c r="S292" s="54"/>
      <c r="V292" s="54"/>
      <c r="W292" s="54"/>
      <c r="X292" s="54"/>
      <c r="AA292" s="54"/>
      <c r="AB292" s="54"/>
      <c r="AC292" s="54"/>
      <c r="AF292" s="54"/>
      <c r="AG292" s="54"/>
      <c r="AH292" s="54"/>
    </row>
    <row r="293" spans="17:34" x14ac:dyDescent="0.3">
      <c r="Q293" s="54"/>
      <c r="R293" s="54"/>
      <c r="S293" s="54"/>
      <c r="V293" s="54"/>
      <c r="W293" s="54"/>
      <c r="X293" s="54"/>
      <c r="AA293" s="54"/>
      <c r="AB293" s="54"/>
      <c r="AC293" s="54"/>
      <c r="AF293" s="54"/>
      <c r="AG293" s="54"/>
      <c r="AH293" s="54"/>
    </row>
    <row r="294" spans="17:34" x14ac:dyDescent="0.3">
      <c r="Q294" s="54"/>
      <c r="R294" s="54"/>
      <c r="S294" s="54"/>
      <c r="V294" s="54"/>
      <c r="W294" s="54"/>
      <c r="X294" s="54"/>
      <c r="AA294" s="54"/>
      <c r="AB294" s="54"/>
      <c r="AC294" s="54"/>
      <c r="AF294" s="54"/>
      <c r="AG294" s="54"/>
      <c r="AH294" s="54"/>
    </row>
    <row r="295" spans="17:34" x14ac:dyDescent="0.3">
      <c r="Q295" s="54"/>
      <c r="R295" s="54"/>
      <c r="S295" s="54"/>
      <c r="V295" s="54"/>
      <c r="W295" s="54"/>
      <c r="X295" s="54"/>
      <c r="AA295" s="54"/>
      <c r="AB295" s="54"/>
      <c r="AC295" s="54"/>
      <c r="AF295" s="54"/>
      <c r="AG295" s="54"/>
      <c r="AH295" s="54"/>
    </row>
    <row r="296" spans="17:34" x14ac:dyDescent="0.3">
      <c r="Q296" s="54"/>
      <c r="R296" s="54"/>
      <c r="S296" s="54"/>
      <c r="V296" s="54"/>
      <c r="W296" s="54"/>
      <c r="X296" s="54"/>
      <c r="AA296" s="54"/>
      <c r="AB296" s="54"/>
      <c r="AC296" s="54"/>
      <c r="AF296" s="54"/>
      <c r="AG296" s="54"/>
      <c r="AH296" s="54"/>
    </row>
    <row r="297" spans="17:34" x14ac:dyDescent="0.3">
      <c r="Q297" s="54"/>
      <c r="R297" s="54"/>
      <c r="S297" s="54"/>
      <c r="V297" s="54"/>
      <c r="W297" s="54"/>
      <c r="X297" s="54"/>
      <c r="AA297" s="54"/>
      <c r="AB297" s="54"/>
      <c r="AC297" s="54"/>
      <c r="AF297" s="54"/>
      <c r="AG297" s="54"/>
      <c r="AH297" s="54"/>
    </row>
    <row r="298" spans="17:34" x14ac:dyDescent="0.3">
      <c r="Q298" s="54"/>
      <c r="R298" s="54"/>
      <c r="S298" s="54"/>
      <c r="V298" s="54"/>
      <c r="W298" s="54"/>
      <c r="X298" s="54"/>
      <c r="AA298" s="54"/>
      <c r="AB298" s="54"/>
      <c r="AC298" s="54"/>
      <c r="AF298" s="54"/>
      <c r="AG298" s="54"/>
      <c r="AH298" s="54"/>
    </row>
    <row r="299" spans="17:34" x14ac:dyDescent="0.3">
      <c r="Q299" s="54"/>
      <c r="R299" s="54"/>
      <c r="S299" s="54"/>
      <c r="V299" s="54"/>
      <c r="W299" s="54"/>
      <c r="X299" s="54"/>
      <c r="AA299" s="54"/>
      <c r="AB299" s="54"/>
      <c r="AC299" s="54"/>
      <c r="AF299" s="54"/>
      <c r="AG299" s="54"/>
      <c r="AH299" s="54"/>
    </row>
    <row r="300" spans="17:34" x14ac:dyDescent="0.3">
      <c r="Q300" s="54"/>
      <c r="R300" s="54"/>
      <c r="S300" s="54"/>
      <c r="V300" s="54"/>
      <c r="W300" s="54"/>
      <c r="X300" s="54"/>
      <c r="AA300" s="54"/>
      <c r="AB300" s="54"/>
      <c r="AC300" s="54"/>
      <c r="AF300" s="54"/>
      <c r="AG300" s="54"/>
      <c r="AH300" s="54"/>
    </row>
    <row r="301" spans="17:34" x14ac:dyDescent="0.3">
      <c r="Q301" s="54"/>
      <c r="R301" s="54"/>
      <c r="S301" s="54"/>
      <c r="V301" s="54"/>
      <c r="W301" s="54"/>
      <c r="X301" s="54"/>
      <c r="AA301" s="54"/>
      <c r="AB301" s="54"/>
      <c r="AC301" s="54"/>
      <c r="AF301" s="54"/>
      <c r="AG301" s="54"/>
      <c r="AH301" s="54"/>
    </row>
    <row r="302" spans="17:34" x14ac:dyDescent="0.3">
      <c r="Q302" s="54"/>
      <c r="R302" s="54"/>
      <c r="S302" s="54"/>
      <c r="V302" s="54"/>
      <c r="W302" s="54"/>
      <c r="X302" s="54"/>
      <c r="AA302" s="54"/>
      <c r="AB302" s="54"/>
      <c r="AC302" s="54"/>
      <c r="AF302" s="54"/>
      <c r="AG302" s="54"/>
      <c r="AH302" s="54"/>
    </row>
    <row r="303" spans="17:34" x14ac:dyDescent="0.3">
      <c r="Q303" s="54"/>
      <c r="R303" s="54"/>
      <c r="S303" s="54"/>
      <c r="V303" s="54"/>
      <c r="W303" s="54"/>
      <c r="X303" s="54"/>
      <c r="AA303" s="54"/>
      <c r="AB303" s="54"/>
      <c r="AC303" s="54"/>
      <c r="AF303" s="54"/>
      <c r="AG303" s="54"/>
      <c r="AH303" s="54"/>
    </row>
    <row r="304" spans="17:34" x14ac:dyDescent="0.3">
      <c r="Q304" s="54"/>
      <c r="R304" s="54"/>
      <c r="S304" s="54"/>
      <c r="V304" s="54"/>
      <c r="W304" s="54"/>
      <c r="X304" s="54"/>
      <c r="AA304" s="54"/>
      <c r="AB304" s="54"/>
      <c r="AC304" s="54"/>
      <c r="AF304" s="54"/>
      <c r="AG304" s="54"/>
      <c r="AH304" s="54"/>
    </row>
    <row r="305" spans="17:34" x14ac:dyDescent="0.3">
      <c r="Q305" s="54"/>
      <c r="R305" s="54"/>
      <c r="S305" s="54"/>
      <c r="V305" s="54"/>
      <c r="W305" s="54"/>
      <c r="X305" s="54"/>
      <c r="AA305" s="54"/>
      <c r="AB305" s="54"/>
      <c r="AC305" s="54"/>
      <c r="AF305" s="54"/>
      <c r="AG305" s="54"/>
      <c r="AH305" s="54"/>
    </row>
    <row r="306" spans="17:34" x14ac:dyDescent="0.3">
      <c r="Q306" s="54"/>
      <c r="R306" s="54"/>
      <c r="S306" s="54"/>
      <c r="V306" s="54"/>
      <c r="W306" s="54"/>
      <c r="X306" s="54"/>
      <c r="AA306" s="54"/>
      <c r="AB306" s="54"/>
      <c r="AC306" s="54"/>
      <c r="AF306" s="54"/>
      <c r="AG306" s="54"/>
      <c r="AH306" s="54"/>
    </row>
    <row r="307" spans="17:34" x14ac:dyDescent="0.3">
      <c r="Q307" s="54"/>
      <c r="R307" s="54"/>
      <c r="S307" s="54"/>
      <c r="V307" s="54"/>
      <c r="W307" s="54"/>
      <c r="X307" s="54"/>
      <c r="AA307" s="54"/>
      <c r="AB307" s="54"/>
      <c r="AC307" s="54"/>
      <c r="AF307" s="54"/>
      <c r="AG307" s="54"/>
      <c r="AH307" s="54"/>
    </row>
    <row r="308" spans="17:34" x14ac:dyDescent="0.3">
      <c r="Q308" s="54"/>
      <c r="R308" s="54"/>
      <c r="S308" s="54"/>
      <c r="V308" s="54"/>
      <c r="W308" s="54"/>
      <c r="X308" s="54"/>
      <c r="AA308" s="54"/>
      <c r="AB308" s="54"/>
      <c r="AC308" s="54"/>
      <c r="AF308" s="54"/>
      <c r="AG308" s="54"/>
      <c r="AH308" s="54"/>
    </row>
    <row r="309" spans="17:34" x14ac:dyDescent="0.3">
      <c r="Q309" s="54"/>
      <c r="R309" s="54"/>
      <c r="S309" s="54"/>
      <c r="V309" s="54"/>
      <c r="W309" s="54"/>
      <c r="X309" s="54"/>
      <c r="AA309" s="54"/>
      <c r="AB309" s="54"/>
      <c r="AC309" s="54"/>
      <c r="AF309" s="54"/>
      <c r="AG309" s="54"/>
      <c r="AH309" s="54"/>
    </row>
    <row r="310" spans="17:34" x14ac:dyDescent="0.3">
      <c r="Q310" s="54"/>
      <c r="R310" s="54"/>
      <c r="S310" s="54"/>
      <c r="V310" s="54"/>
      <c r="W310" s="54"/>
      <c r="X310" s="54"/>
      <c r="AA310" s="54"/>
      <c r="AB310" s="54"/>
      <c r="AC310" s="54"/>
      <c r="AF310" s="54"/>
      <c r="AG310" s="54"/>
      <c r="AH310" s="54"/>
    </row>
    <row r="311" spans="17:34" x14ac:dyDescent="0.3">
      <c r="Q311" s="54"/>
      <c r="R311" s="54"/>
      <c r="S311" s="54"/>
      <c r="V311" s="54"/>
      <c r="W311" s="54"/>
      <c r="X311" s="54"/>
      <c r="AA311" s="54"/>
      <c r="AB311" s="54"/>
      <c r="AC311" s="54"/>
      <c r="AF311" s="54"/>
      <c r="AG311" s="54"/>
      <c r="AH311" s="54"/>
    </row>
    <row r="312" spans="17:34" x14ac:dyDescent="0.3">
      <c r="Q312" s="54"/>
      <c r="R312" s="54"/>
      <c r="S312" s="54"/>
      <c r="V312" s="54"/>
      <c r="W312" s="54"/>
      <c r="X312" s="54"/>
      <c r="AA312" s="54"/>
      <c r="AB312" s="54"/>
      <c r="AC312" s="54"/>
      <c r="AF312" s="54"/>
      <c r="AG312" s="54"/>
      <c r="AH312" s="54"/>
    </row>
    <row r="313" spans="17:34" x14ac:dyDescent="0.3">
      <c r="Q313" s="54"/>
      <c r="R313" s="54"/>
      <c r="S313" s="54"/>
      <c r="V313" s="54"/>
      <c r="W313" s="54"/>
      <c r="X313" s="54"/>
      <c r="AA313" s="54"/>
      <c r="AB313" s="54"/>
      <c r="AC313" s="54"/>
      <c r="AF313" s="54"/>
      <c r="AG313" s="54"/>
      <c r="AH313" s="54"/>
    </row>
    <row r="314" spans="17:34" x14ac:dyDescent="0.3">
      <c r="Q314" s="54"/>
      <c r="R314" s="54"/>
      <c r="S314" s="54"/>
      <c r="V314" s="54"/>
      <c r="W314" s="54"/>
      <c r="X314" s="54"/>
      <c r="AA314" s="54"/>
      <c r="AB314" s="54"/>
      <c r="AC314" s="54"/>
      <c r="AF314" s="54"/>
      <c r="AG314" s="54"/>
      <c r="AH314" s="54"/>
    </row>
    <row r="315" spans="17:34" x14ac:dyDescent="0.3">
      <c r="Q315" s="54"/>
      <c r="R315" s="54"/>
      <c r="S315" s="54"/>
      <c r="V315" s="54"/>
      <c r="W315" s="54"/>
      <c r="X315" s="54"/>
      <c r="AA315" s="54"/>
      <c r="AB315" s="54"/>
      <c r="AC315" s="54"/>
      <c r="AF315" s="54"/>
      <c r="AG315" s="54"/>
      <c r="AH315" s="54"/>
    </row>
    <row r="316" spans="17:34" x14ac:dyDescent="0.3">
      <c r="Q316" s="54"/>
      <c r="R316" s="54"/>
      <c r="S316" s="54"/>
      <c r="V316" s="54"/>
      <c r="W316" s="54"/>
      <c r="X316" s="54"/>
      <c r="AA316" s="54"/>
      <c r="AB316" s="54"/>
      <c r="AC316" s="54"/>
      <c r="AF316" s="54"/>
      <c r="AG316" s="54"/>
      <c r="AH316" s="54"/>
    </row>
    <row r="317" spans="17:34" x14ac:dyDescent="0.3">
      <c r="Q317" s="54"/>
      <c r="R317" s="54"/>
      <c r="S317" s="54"/>
      <c r="V317" s="54"/>
      <c r="W317" s="54"/>
      <c r="X317" s="54"/>
      <c r="AA317" s="54"/>
      <c r="AB317" s="54"/>
      <c r="AC317" s="54"/>
      <c r="AF317" s="54"/>
      <c r="AG317" s="54"/>
      <c r="AH317" s="54"/>
    </row>
    <row r="318" spans="17:34" x14ac:dyDescent="0.3">
      <c r="Q318" s="54"/>
      <c r="R318" s="54"/>
      <c r="S318" s="54"/>
      <c r="V318" s="54"/>
      <c r="W318" s="54"/>
      <c r="X318" s="54"/>
      <c r="AA318" s="54"/>
      <c r="AB318" s="54"/>
      <c r="AC318" s="54"/>
      <c r="AF318" s="54"/>
      <c r="AG318" s="54"/>
      <c r="AH318" s="54"/>
    </row>
    <row r="319" spans="17:34" x14ac:dyDescent="0.3">
      <c r="Q319" s="54"/>
      <c r="R319" s="54"/>
      <c r="S319" s="54"/>
      <c r="V319" s="54"/>
      <c r="W319" s="54"/>
      <c r="X319" s="54"/>
      <c r="AA319" s="54"/>
      <c r="AB319" s="54"/>
      <c r="AC319" s="54"/>
      <c r="AF319" s="54"/>
      <c r="AG319" s="54"/>
      <c r="AH319" s="54"/>
    </row>
    <row r="320" spans="17:34" x14ac:dyDescent="0.3">
      <c r="Q320" s="54"/>
      <c r="R320" s="54"/>
      <c r="S320" s="54"/>
      <c r="V320" s="54"/>
      <c r="W320" s="54"/>
      <c r="X320" s="54"/>
      <c r="AA320" s="54"/>
      <c r="AB320" s="54"/>
      <c r="AC320" s="54"/>
      <c r="AF320" s="54"/>
      <c r="AG320" s="54"/>
      <c r="AH320" s="54"/>
    </row>
    <row r="321" spans="17:34" x14ac:dyDescent="0.3">
      <c r="Q321" s="54"/>
      <c r="R321" s="54"/>
      <c r="S321" s="54"/>
      <c r="V321" s="54"/>
      <c r="W321" s="54"/>
      <c r="X321" s="54"/>
      <c r="AA321" s="54"/>
      <c r="AB321" s="54"/>
      <c r="AC321" s="54"/>
      <c r="AF321" s="54"/>
      <c r="AG321" s="54"/>
      <c r="AH321" s="54"/>
    </row>
    <row r="322" spans="17:34" x14ac:dyDescent="0.3">
      <c r="Q322" s="54"/>
      <c r="R322" s="54"/>
      <c r="S322" s="54"/>
      <c r="V322" s="54"/>
      <c r="W322" s="54"/>
      <c r="X322" s="54"/>
      <c r="AA322" s="54"/>
      <c r="AB322" s="54"/>
      <c r="AC322" s="54"/>
      <c r="AF322" s="54"/>
      <c r="AG322" s="54"/>
      <c r="AH322" s="54"/>
    </row>
    <row r="323" spans="17:34" x14ac:dyDescent="0.3">
      <c r="Q323" s="54"/>
      <c r="R323" s="54"/>
      <c r="S323" s="54"/>
      <c r="V323" s="54"/>
      <c r="W323" s="54"/>
      <c r="X323" s="54"/>
      <c r="AA323" s="54"/>
      <c r="AB323" s="54"/>
      <c r="AC323" s="54"/>
      <c r="AF323" s="54"/>
      <c r="AG323" s="54"/>
      <c r="AH323" s="54"/>
    </row>
    <row r="324" spans="17:34" x14ac:dyDescent="0.3">
      <c r="Q324" s="54"/>
      <c r="R324" s="54"/>
      <c r="S324" s="54"/>
      <c r="V324" s="54"/>
      <c r="W324" s="54"/>
      <c r="X324" s="54"/>
      <c r="AA324" s="54"/>
      <c r="AB324" s="54"/>
      <c r="AC324" s="54"/>
      <c r="AF324" s="54"/>
      <c r="AG324" s="54"/>
      <c r="AH324" s="54"/>
    </row>
    <row r="325" spans="17:34" x14ac:dyDescent="0.3">
      <c r="Q325" s="54"/>
      <c r="R325" s="54"/>
      <c r="S325" s="54"/>
      <c r="V325" s="54"/>
      <c r="W325" s="54"/>
      <c r="X325" s="54"/>
      <c r="AA325" s="54"/>
      <c r="AB325" s="54"/>
      <c r="AC325" s="54"/>
      <c r="AF325" s="54"/>
      <c r="AG325" s="54"/>
      <c r="AH325" s="54"/>
    </row>
    <row r="326" spans="17:34" x14ac:dyDescent="0.3">
      <c r="Q326" s="54"/>
      <c r="R326" s="54"/>
      <c r="S326" s="54"/>
      <c r="V326" s="54"/>
      <c r="W326" s="54"/>
      <c r="X326" s="54"/>
      <c r="AA326" s="54"/>
      <c r="AB326" s="54"/>
      <c r="AC326" s="54"/>
      <c r="AF326" s="54"/>
      <c r="AG326" s="54"/>
      <c r="AH326" s="54"/>
    </row>
    <row r="327" spans="17:34" x14ac:dyDescent="0.3">
      <c r="Q327" s="54"/>
      <c r="R327" s="54"/>
      <c r="S327" s="54"/>
      <c r="V327" s="54"/>
      <c r="W327" s="54"/>
      <c r="X327" s="54"/>
      <c r="AA327" s="54"/>
      <c r="AB327" s="54"/>
      <c r="AC327" s="54"/>
      <c r="AF327" s="54"/>
      <c r="AG327" s="54"/>
      <c r="AH327" s="54"/>
    </row>
    <row r="328" spans="17:34" x14ac:dyDescent="0.3">
      <c r="Q328" s="54"/>
      <c r="R328" s="54"/>
      <c r="S328" s="54"/>
      <c r="V328" s="54"/>
      <c r="W328" s="54"/>
      <c r="X328" s="54"/>
      <c r="AA328" s="54"/>
      <c r="AB328" s="54"/>
      <c r="AC328" s="54"/>
      <c r="AF328" s="54"/>
      <c r="AG328" s="54"/>
      <c r="AH328" s="54"/>
    </row>
    <row r="329" spans="17:34" x14ac:dyDescent="0.3">
      <c r="Q329" s="54"/>
      <c r="R329" s="54"/>
      <c r="S329" s="54"/>
      <c r="V329" s="54"/>
      <c r="W329" s="54"/>
      <c r="X329" s="54"/>
      <c r="AA329" s="54"/>
      <c r="AB329" s="54"/>
      <c r="AC329" s="54"/>
      <c r="AF329" s="54"/>
      <c r="AG329" s="54"/>
      <c r="AH329" s="54"/>
    </row>
    <row r="330" spans="17:34" x14ac:dyDescent="0.3">
      <c r="Q330" s="54"/>
      <c r="R330" s="54"/>
      <c r="S330" s="54"/>
      <c r="V330" s="54"/>
      <c r="W330" s="54"/>
      <c r="X330" s="54"/>
      <c r="AA330" s="54"/>
      <c r="AB330" s="54"/>
      <c r="AC330" s="54"/>
      <c r="AF330" s="54"/>
      <c r="AG330" s="54"/>
      <c r="AH330" s="54"/>
    </row>
    <row r="331" spans="17:34" x14ac:dyDescent="0.3">
      <c r="Q331" s="54"/>
      <c r="R331" s="54"/>
      <c r="S331" s="54"/>
      <c r="V331" s="54"/>
      <c r="W331" s="54"/>
      <c r="X331" s="54"/>
      <c r="AA331" s="54"/>
      <c r="AB331" s="54"/>
      <c r="AC331" s="54"/>
      <c r="AF331" s="54"/>
      <c r="AG331" s="54"/>
      <c r="AH331" s="54"/>
    </row>
    <row r="332" spans="17:34" x14ac:dyDescent="0.3">
      <c r="Q332" s="54"/>
      <c r="R332" s="54"/>
      <c r="S332" s="54"/>
      <c r="V332" s="54"/>
      <c r="W332" s="54"/>
      <c r="X332" s="54"/>
      <c r="AA332" s="54"/>
      <c r="AB332" s="54"/>
      <c r="AC332" s="54"/>
      <c r="AF332" s="54"/>
      <c r="AG332" s="54"/>
      <c r="AH332" s="54"/>
    </row>
    <row r="333" spans="17:34" x14ac:dyDescent="0.3">
      <c r="Q333" s="54"/>
      <c r="R333" s="54"/>
      <c r="S333" s="54"/>
      <c r="V333" s="54"/>
      <c r="W333" s="54"/>
      <c r="X333" s="54"/>
      <c r="AA333" s="54"/>
      <c r="AB333" s="54"/>
      <c r="AC333" s="54"/>
      <c r="AF333" s="54"/>
      <c r="AG333" s="54"/>
      <c r="AH333" s="54"/>
    </row>
    <row r="334" spans="17:34" x14ac:dyDescent="0.3">
      <c r="Q334" s="54"/>
      <c r="R334" s="54"/>
      <c r="S334" s="54"/>
      <c r="V334" s="54"/>
      <c r="W334" s="54"/>
      <c r="X334" s="54"/>
      <c r="AA334" s="54"/>
      <c r="AB334" s="54"/>
      <c r="AC334" s="54"/>
      <c r="AF334" s="54"/>
      <c r="AG334" s="54"/>
      <c r="AH334" s="54"/>
    </row>
    <row r="335" spans="17:34" x14ac:dyDescent="0.3">
      <c r="Q335" s="54"/>
      <c r="R335" s="54"/>
      <c r="S335" s="54"/>
      <c r="V335" s="54"/>
      <c r="W335" s="54"/>
      <c r="X335" s="54"/>
      <c r="AA335" s="54"/>
      <c r="AB335" s="54"/>
      <c r="AC335" s="54"/>
      <c r="AF335" s="54"/>
      <c r="AG335" s="54"/>
      <c r="AH335" s="54"/>
    </row>
    <row r="336" spans="17:34" x14ac:dyDescent="0.3">
      <c r="Q336" s="54"/>
      <c r="R336" s="54"/>
      <c r="S336" s="54"/>
      <c r="V336" s="54"/>
      <c r="W336" s="54"/>
      <c r="X336" s="54"/>
      <c r="AA336" s="54"/>
      <c r="AB336" s="54"/>
      <c r="AC336" s="54"/>
      <c r="AF336" s="54"/>
      <c r="AG336" s="54"/>
      <c r="AH336" s="54"/>
    </row>
    <row r="337" spans="17:34" x14ac:dyDescent="0.3">
      <c r="Q337" s="54"/>
      <c r="R337" s="54"/>
      <c r="S337" s="54"/>
      <c r="V337" s="54"/>
      <c r="W337" s="54"/>
      <c r="X337" s="54"/>
      <c r="AA337" s="54"/>
      <c r="AB337" s="54"/>
      <c r="AC337" s="54"/>
      <c r="AF337" s="54"/>
      <c r="AG337" s="54"/>
      <c r="AH337" s="54"/>
    </row>
    <row r="338" spans="17:34" x14ac:dyDescent="0.3">
      <c r="Q338" s="54"/>
      <c r="R338" s="54"/>
      <c r="S338" s="54"/>
      <c r="V338" s="54"/>
      <c r="W338" s="54"/>
      <c r="X338" s="54"/>
      <c r="AA338" s="54"/>
      <c r="AB338" s="54"/>
      <c r="AC338" s="54"/>
      <c r="AF338" s="54"/>
      <c r="AG338" s="54"/>
      <c r="AH338" s="54"/>
    </row>
    <row r="339" spans="17:34" x14ac:dyDescent="0.3">
      <c r="Q339" s="54"/>
      <c r="R339" s="54"/>
      <c r="S339" s="54"/>
      <c r="V339" s="54"/>
      <c r="W339" s="54"/>
      <c r="X339" s="54"/>
      <c r="AA339" s="54"/>
      <c r="AB339" s="54"/>
      <c r="AC339" s="54"/>
      <c r="AF339" s="54"/>
      <c r="AG339" s="54"/>
      <c r="AH339" s="54"/>
    </row>
    <row r="340" spans="17:34" x14ac:dyDescent="0.3">
      <c r="Q340" s="54"/>
      <c r="R340" s="54"/>
      <c r="S340" s="54"/>
      <c r="V340" s="54"/>
      <c r="W340" s="54"/>
      <c r="X340" s="54"/>
      <c r="AA340" s="54"/>
      <c r="AB340" s="54"/>
      <c r="AC340" s="54"/>
      <c r="AF340" s="54"/>
      <c r="AG340" s="54"/>
      <c r="AH340" s="54"/>
    </row>
    <row r="341" spans="17:34" x14ac:dyDescent="0.3">
      <c r="Q341" s="54"/>
      <c r="R341" s="54"/>
      <c r="S341" s="54"/>
      <c r="V341" s="54"/>
      <c r="W341" s="54"/>
      <c r="X341" s="54"/>
      <c r="AA341" s="54"/>
      <c r="AB341" s="54"/>
      <c r="AC341" s="54"/>
      <c r="AF341" s="54"/>
      <c r="AG341" s="54"/>
      <c r="AH341" s="54"/>
    </row>
    <row r="342" spans="17:34" x14ac:dyDescent="0.3">
      <c r="Q342" s="54"/>
      <c r="R342" s="54"/>
      <c r="S342" s="54"/>
      <c r="V342" s="54"/>
      <c r="W342" s="54"/>
      <c r="X342" s="54"/>
      <c r="AA342" s="54"/>
      <c r="AB342" s="54"/>
      <c r="AC342" s="54"/>
      <c r="AF342" s="54"/>
      <c r="AG342" s="54"/>
      <c r="AH342" s="54"/>
    </row>
    <row r="343" spans="17:34" x14ac:dyDescent="0.3">
      <c r="Q343" s="54"/>
      <c r="R343" s="54"/>
      <c r="S343" s="54"/>
      <c r="V343" s="54"/>
      <c r="W343" s="54"/>
      <c r="X343" s="54"/>
      <c r="AA343" s="54"/>
      <c r="AB343" s="54"/>
      <c r="AC343" s="54"/>
      <c r="AF343" s="54"/>
      <c r="AG343" s="54"/>
      <c r="AH343" s="54"/>
    </row>
    <row r="344" spans="17:34" x14ac:dyDescent="0.3">
      <c r="Q344" s="54"/>
      <c r="R344" s="54"/>
      <c r="S344" s="54"/>
      <c r="V344" s="54"/>
      <c r="W344" s="54"/>
      <c r="X344" s="54"/>
      <c r="AA344" s="54"/>
      <c r="AB344" s="54"/>
      <c r="AC344" s="54"/>
      <c r="AF344" s="54"/>
      <c r="AG344" s="54"/>
      <c r="AH344" s="54"/>
    </row>
    <row r="345" spans="17:34" x14ac:dyDescent="0.3">
      <c r="Q345" s="54"/>
      <c r="R345" s="54"/>
      <c r="S345" s="54"/>
      <c r="V345" s="54"/>
      <c r="W345" s="54"/>
      <c r="X345" s="54"/>
      <c r="AA345" s="54"/>
      <c r="AB345" s="54"/>
      <c r="AC345" s="54"/>
      <c r="AF345" s="54"/>
      <c r="AG345" s="54"/>
      <c r="AH345" s="54"/>
    </row>
    <row r="346" spans="17:34" x14ac:dyDescent="0.3">
      <c r="Q346" s="54"/>
      <c r="R346" s="54"/>
      <c r="S346" s="54"/>
      <c r="V346" s="54"/>
      <c r="W346" s="54"/>
      <c r="X346" s="54"/>
      <c r="AA346" s="54"/>
      <c r="AB346" s="54"/>
      <c r="AC346" s="54"/>
      <c r="AF346" s="54"/>
      <c r="AG346" s="54"/>
      <c r="AH346" s="54"/>
    </row>
    <row r="347" spans="17:34" x14ac:dyDescent="0.3">
      <c r="Q347" s="54"/>
      <c r="R347" s="54"/>
      <c r="S347" s="54"/>
      <c r="V347" s="54"/>
      <c r="W347" s="54"/>
      <c r="X347" s="54"/>
      <c r="AA347" s="54"/>
      <c r="AB347" s="54"/>
      <c r="AC347" s="54"/>
      <c r="AF347" s="54"/>
      <c r="AG347" s="54"/>
      <c r="AH347" s="54"/>
    </row>
    <row r="348" spans="17:34" x14ac:dyDescent="0.3">
      <c r="Q348" s="54"/>
      <c r="R348" s="54"/>
      <c r="S348" s="54"/>
      <c r="V348" s="54"/>
      <c r="W348" s="54"/>
      <c r="X348" s="54"/>
      <c r="AA348" s="54"/>
      <c r="AB348" s="54"/>
      <c r="AC348" s="54"/>
      <c r="AF348" s="54"/>
      <c r="AG348" s="54"/>
      <c r="AH348" s="54"/>
    </row>
    <row r="349" spans="17:34" x14ac:dyDescent="0.3">
      <c r="Q349" s="54"/>
      <c r="R349" s="54"/>
      <c r="S349" s="54"/>
      <c r="V349" s="54"/>
      <c r="W349" s="54"/>
      <c r="X349" s="54"/>
      <c r="AA349" s="54"/>
      <c r="AB349" s="54"/>
      <c r="AC349" s="54"/>
      <c r="AF349" s="54"/>
      <c r="AG349" s="54"/>
      <c r="AH349" s="54"/>
    </row>
    <row r="350" spans="17:34" x14ac:dyDescent="0.3">
      <c r="Q350" s="54"/>
      <c r="R350" s="54"/>
      <c r="S350" s="54"/>
      <c r="V350" s="54"/>
      <c r="W350" s="54"/>
      <c r="X350" s="54"/>
      <c r="AA350" s="54"/>
      <c r="AB350" s="54"/>
      <c r="AC350" s="54"/>
      <c r="AF350" s="54"/>
      <c r="AG350" s="54"/>
      <c r="AH350" s="54"/>
    </row>
    <row r="351" spans="17:34" x14ac:dyDescent="0.3">
      <c r="Q351" s="54"/>
      <c r="R351" s="54"/>
      <c r="S351" s="54"/>
      <c r="V351" s="54"/>
      <c r="W351" s="54"/>
      <c r="X351" s="54"/>
      <c r="AA351" s="54"/>
      <c r="AB351" s="54"/>
      <c r="AC351" s="54"/>
      <c r="AF351" s="54"/>
      <c r="AG351" s="54"/>
      <c r="AH351" s="54"/>
    </row>
    <row r="352" spans="17:34" x14ac:dyDescent="0.3">
      <c r="Q352" s="54"/>
      <c r="R352" s="54"/>
      <c r="S352" s="54"/>
      <c r="V352" s="54"/>
      <c r="W352" s="54"/>
      <c r="X352" s="54"/>
      <c r="AA352" s="54"/>
      <c r="AB352" s="54"/>
      <c r="AC352" s="54"/>
      <c r="AF352" s="54"/>
      <c r="AG352" s="54"/>
      <c r="AH352" s="54"/>
    </row>
    <row r="353" spans="17:34" x14ac:dyDescent="0.3">
      <c r="Q353" s="54"/>
      <c r="R353" s="54"/>
      <c r="S353" s="54"/>
      <c r="V353" s="54"/>
      <c r="W353" s="54"/>
      <c r="X353" s="54"/>
      <c r="AA353" s="54"/>
      <c r="AB353" s="54"/>
      <c r="AC353" s="54"/>
      <c r="AF353" s="54"/>
      <c r="AG353" s="54"/>
      <c r="AH353" s="54"/>
    </row>
    <row r="354" spans="17:34" x14ac:dyDescent="0.3">
      <c r="Q354" s="54"/>
      <c r="R354" s="54"/>
      <c r="S354" s="54"/>
      <c r="V354" s="54"/>
      <c r="W354" s="54"/>
      <c r="X354" s="54"/>
      <c r="AA354" s="54"/>
      <c r="AB354" s="54"/>
      <c r="AC354" s="54"/>
      <c r="AF354" s="54"/>
      <c r="AG354" s="54"/>
      <c r="AH354" s="54"/>
    </row>
    <row r="355" spans="17:34" x14ac:dyDescent="0.3">
      <c r="Q355" s="54"/>
      <c r="R355" s="54"/>
      <c r="S355" s="54"/>
      <c r="V355" s="54"/>
      <c r="W355" s="54"/>
      <c r="X355" s="54"/>
      <c r="AA355" s="54"/>
      <c r="AB355" s="54"/>
      <c r="AC355" s="54"/>
      <c r="AF355" s="54"/>
      <c r="AG355" s="54"/>
      <c r="AH355" s="54"/>
    </row>
    <row r="356" spans="17:34" x14ac:dyDescent="0.3">
      <c r="Q356" s="54"/>
      <c r="R356" s="54"/>
      <c r="S356" s="54"/>
      <c r="V356" s="54"/>
      <c r="W356" s="54"/>
      <c r="X356" s="54"/>
      <c r="AA356" s="54"/>
      <c r="AB356" s="54"/>
      <c r="AC356" s="54"/>
      <c r="AF356" s="54"/>
      <c r="AG356" s="54"/>
      <c r="AH356" s="54"/>
    </row>
    <row r="357" spans="17:34" x14ac:dyDescent="0.3">
      <c r="Q357" s="54"/>
      <c r="R357" s="54"/>
      <c r="S357" s="54"/>
      <c r="V357" s="54"/>
      <c r="W357" s="54"/>
      <c r="X357" s="54"/>
      <c r="AA357" s="54"/>
      <c r="AB357" s="54"/>
      <c r="AC357" s="54"/>
      <c r="AF357" s="54"/>
      <c r="AG357" s="54"/>
      <c r="AH357" s="54"/>
    </row>
    <row r="358" spans="17:34" x14ac:dyDescent="0.3">
      <c r="Q358" s="54"/>
      <c r="R358" s="54"/>
      <c r="S358" s="54"/>
      <c r="V358" s="54"/>
      <c r="W358" s="54"/>
      <c r="X358" s="54"/>
      <c r="AA358" s="54"/>
      <c r="AB358" s="54"/>
      <c r="AC358" s="54"/>
      <c r="AF358" s="54"/>
      <c r="AG358" s="54"/>
      <c r="AH358" s="54"/>
    </row>
    <row r="359" spans="17:34" x14ac:dyDescent="0.3">
      <c r="Q359" s="54"/>
      <c r="R359" s="54"/>
      <c r="S359" s="54"/>
      <c r="V359" s="54"/>
      <c r="W359" s="54"/>
      <c r="X359" s="54"/>
      <c r="AA359" s="54"/>
      <c r="AB359" s="54"/>
      <c r="AC359" s="54"/>
      <c r="AF359" s="54"/>
      <c r="AG359" s="54"/>
      <c r="AH359" s="54"/>
    </row>
    <row r="360" spans="17:34" x14ac:dyDescent="0.3">
      <c r="Q360" s="54"/>
      <c r="R360" s="54"/>
      <c r="S360" s="54"/>
      <c r="V360" s="54"/>
      <c r="W360" s="54"/>
      <c r="X360" s="54"/>
      <c r="AA360" s="54"/>
      <c r="AB360" s="54"/>
      <c r="AC360" s="54"/>
      <c r="AF360" s="54"/>
      <c r="AG360" s="54"/>
      <c r="AH360" s="54"/>
    </row>
    <row r="361" spans="17:34" x14ac:dyDescent="0.3">
      <c r="Q361" s="54"/>
      <c r="R361" s="54"/>
      <c r="S361" s="54"/>
      <c r="V361" s="54"/>
      <c r="W361" s="54"/>
      <c r="X361" s="54"/>
      <c r="AA361" s="54"/>
      <c r="AB361" s="54"/>
      <c r="AC361" s="54"/>
      <c r="AF361" s="54"/>
      <c r="AG361" s="54"/>
      <c r="AH361" s="54"/>
    </row>
    <row r="362" spans="17:34" x14ac:dyDescent="0.3">
      <c r="Q362" s="54"/>
      <c r="R362" s="54"/>
      <c r="S362" s="54"/>
      <c r="V362" s="54"/>
      <c r="W362" s="54"/>
      <c r="X362" s="54"/>
      <c r="AA362" s="54"/>
      <c r="AB362" s="54"/>
      <c r="AC362" s="54"/>
      <c r="AF362" s="54"/>
      <c r="AG362" s="54"/>
      <c r="AH362" s="54"/>
    </row>
    <row r="363" spans="17:34" x14ac:dyDescent="0.3">
      <c r="Q363" s="54"/>
      <c r="R363" s="54"/>
      <c r="S363" s="54"/>
      <c r="V363" s="54"/>
      <c r="W363" s="54"/>
      <c r="X363" s="54"/>
      <c r="AA363" s="54"/>
      <c r="AB363" s="54"/>
      <c r="AC363" s="54"/>
      <c r="AF363" s="54"/>
      <c r="AG363" s="54"/>
      <c r="AH363" s="54"/>
    </row>
    <row r="364" spans="17:34" x14ac:dyDescent="0.3">
      <c r="Q364" s="54"/>
      <c r="R364" s="54"/>
      <c r="S364" s="54"/>
      <c r="V364" s="54"/>
      <c r="W364" s="54"/>
      <c r="X364" s="54"/>
      <c r="AA364" s="54"/>
      <c r="AB364" s="54"/>
      <c r="AC364" s="54"/>
      <c r="AF364" s="54"/>
      <c r="AG364" s="54"/>
      <c r="AH364" s="54"/>
    </row>
    <row r="365" spans="17:34" x14ac:dyDescent="0.3">
      <c r="Q365" s="54"/>
      <c r="R365" s="54"/>
      <c r="S365" s="54"/>
      <c r="V365" s="54"/>
      <c r="W365" s="54"/>
      <c r="X365" s="54"/>
      <c r="AA365" s="54"/>
      <c r="AB365" s="54"/>
      <c r="AC365" s="54"/>
      <c r="AF365" s="54"/>
      <c r="AG365" s="54"/>
      <c r="AH365" s="54"/>
    </row>
    <row r="366" spans="17:34" x14ac:dyDescent="0.3">
      <c r="Q366" s="54"/>
      <c r="R366" s="54"/>
      <c r="S366" s="54"/>
      <c r="V366" s="54"/>
      <c r="W366" s="54"/>
      <c r="X366" s="54"/>
      <c r="AA366" s="54"/>
      <c r="AB366" s="54"/>
      <c r="AC366" s="54"/>
      <c r="AF366" s="54"/>
      <c r="AG366" s="54"/>
      <c r="AH366" s="54"/>
    </row>
    <row r="367" spans="17:34" x14ac:dyDescent="0.3">
      <c r="Q367" s="54"/>
      <c r="R367" s="54"/>
      <c r="S367" s="54"/>
      <c r="V367" s="54"/>
      <c r="W367" s="54"/>
      <c r="X367" s="54"/>
      <c r="AA367" s="54"/>
      <c r="AB367" s="54"/>
      <c r="AC367" s="54"/>
      <c r="AF367" s="54"/>
      <c r="AG367" s="54"/>
      <c r="AH367" s="54"/>
    </row>
    <row r="368" spans="17:34" x14ac:dyDescent="0.3">
      <c r="Q368" s="54"/>
      <c r="R368" s="54"/>
      <c r="S368" s="54"/>
      <c r="V368" s="54"/>
      <c r="W368" s="54"/>
      <c r="X368" s="54"/>
      <c r="AA368" s="54"/>
      <c r="AB368" s="54"/>
      <c r="AC368" s="54"/>
      <c r="AF368" s="54"/>
      <c r="AG368" s="54"/>
      <c r="AH368" s="54"/>
    </row>
    <row r="369" spans="17:34" x14ac:dyDescent="0.3">
      <c r="Q369" s="54"/>
      <c r="R369" s="54"/>
      <c r="S369" s="54"/>
      <c r="V369" s="54"/>
      <c r="W369" s="54"/>
      <c r="X369" s="54"/>
      <c r="AA369" s="54"/>
      <c r="AB369" s="54"/>
      <c r="AC369" s="54"/>
      <c r="AF369" s="54"/>
      <c r="AG369" s="54"/>
      <c r="AH369" s="54"/>
    </row>
    <row r="370" spans="17:34" x14ac:dyDescent="0.3">
      <c r="Q370" s="54"/>
      <c r="R370" s="54"/>
      <c r="S370" s="54"/>
      <c r="V370" s="54"/>
      <c r="W370" s="54"/>
      <c r="X370" s="54"/>
      <c r="AA370" s="54"/>
      <c r="AB370" s="54"/>
      <c r="AC370" s="54"/>
      <c r="AF370" s="54"/>
      <c r="AG370" s="54"/>
      <c r="AH370" s="54"/>
    </row>
    <row r="371" spans="17:34" x14ac:dyDescent="0.3">
      <c r="Q371" s="54"/>
      <c r="R371" s="54"/>
      <c r="S371" s="54"/>
      <c r="V371" s="54"/>
      <c r="W371" s="54"/>
      <c r="X371" s="54"/>
      <c r="AA371" s="54"/>
      <c r="AB371" s="54"/>
      <c r="AC371" s="54"/>
      <c r="AF371" s="54"/>
      <c r="AG371" s="54"/>
      <c r="AH371" s="54"/>
    </row>
    <row r="372" spans="17:34" x14ac:dyDescent="0.3">
      <c r="Q372" s="54"/>
      <c r="R372" s="54"/>
      <c r="S372" s="54"/>
      <c r="V372" s="54"/>
      <c r="W372" s="54"/>
      <c r="X372" s="54"/>
      <c r="AA372" s="54"/>
      <c r="AB372" s="54"/>
      <c r="AC372" s="54"/>
      <c r="AF372" s="54"/>
      <c r="AG372" s="54"/>
      <c r="AH372" s="54"/>
    </row>
    <row r="373" spans="17:34" x14ac:dyDescent="0.3">
      <c r="Q373" s="54"/>
      <c r="R373" s="54"/>
      <c r="S373" s="54"/>
      <c r="V373" s="54"/>
      <c r="W373" s="54"/>
      <c r="X373" s="54"/>
      <c r="AA373" s="54"/>
      <c r="AB373" s="54"/>
      <c r="AC373" s="54"/>
      <c r="AF373" s="54"/>
      <c r="AG373" s="54"/>
      <c r="AH373" s="54"/>
    </row>
    <row r="374" spans="17:34" x14ac:dyDescent="0.3">
      <c r="Q374" s="54"/>
      <c r="R374" s="54"/>
      <c r="S374" s="54"/>
      <c r="V374" s="54"/>
      <c r="W374" s="54"/>
      <c r="X374" s="54"/>
      <c r="AA374" s="54"/>
      <c r="AB374" s="54"/>
      <c r="AC374" s="54"/>
      <c r="AF374" s="54"/>
      <c r="AG374" s="54"/>
      <c r="AH374" s="54"/>
    </row>
    <row r="375" spans="17:34" x14ac:dyDescent="0.3">
      <c r="Q375" s="54"/>
      <c r="R375" s="54"/>
      <c r="S375" s="54"/>
      <c r="V375" s="54"/>
      <c r="W375" s="54"/>
      <c r="X375" s="54"/>
      <c r="AA375" s="54"/>
      <c r="AB375" s="54"/>
      <c r="AC375" s="54"/>
      <c r="AF375" s="54"/>
      <c r="AG375" s="54"/>
      <c r="AH375" s="54"/>
    </row>
    <row r="376" spans="17:34" x14ac:dyDescent="0.3">
      <c r="Q376" s="54"/>
      <c r="R376" s="54"/>
      <c r="S376" s="54"/>
      <c r="V376" s="54"/>
      <c r="W376" s="54"/>
      <c r="X376" s="54"/>
      <c r="AA376" s="54"/>
      <c r="AB376" s="54"/>
      <c r="AC376" s="54"/>
      <c r="AF376" s="54"/>
      <c r="AG376" s="54"/>
      <c r="AH376" s="54"/>
    </row>
    <row r="377" spans="17:34" x14ac:dyDescent="0.3">
      <c r="Q377" s="54"/>
      <c r="R377" s="54"/>
      <c r="S377" s="54"/>
      <c r="V377" s="54"/>
      <c r="W377" s="54"/>
      <c r="X377" s="54"/>
      <c r="AA377" s="54"/>
      <c r="AB377" s="54"/>
      <c r="AC377" s="54"/>
      <c r="AF377" s="54"/>
      <c r="AG377" s="54"/>
      <c r="AH377" s="54"/>
    </row>
    <row r="378" spans="17:34" x14ac:dyDescent="0.3">
      <c r="Q378" s="54"/>
      <c r="R378" s="54"/>
      <c r="S378" s="54"/>
      <c r="V378" s="54"/>
      <c r="W378" s="54"/>
      <c r="X378" s="54"/>
      <c r="AA378" s="54"/>
      <c r="AB378" s="54"/>
      <c r="AC378" s="54"/>
      <c r="AF378" s="54"/>
      <c r="AG378" s="54"/>
      <c r="AH378" s="54"/>
    </row>
    <row r="379" spans="17:34" x14ac:dyDescent="0.3">
      <c r="Q379" s="54"/>
      <c r="R379" s="54"/>
      <c r="S379" s="54"/>
      <c r="V379" s="54"/>
      <c r="W379" s="54"/>
      <c r="X379" s="54"/>
      <c r="AA379" s="54"/>
      <c r="AB379" s="54"/>
      <c r="AC379" s="54"/>
      <c r="AF379" s="54"/>
      <c r="AG379" s="54"/>
      <c r="AH379" s="54"/>
    </row>
    <row r="380" spans="17:34" x14ac:dyDescent="0.3">
      <c r="Q380" s="54"/>
      <c r="R380" s="54"/>
      <c r="S380" s="54"/>
      <c r="V380" s="54"/>
      <c r="W380" s="54"/>
      <c r="X380" s="54"/>
      <c r="AA380" s="54"/>
      <c r="AB380" s="54"/>
      <c r="AC380" s="54"/>
      <c r="AF380" s="54"/>
      <c r="AG380" s="54"/>
      <c r="AH380" s="54"/>
    </row>
    <row r="381" spans="17:34" x14ac:dyDescent="0.3">
      <c r="Q381" s="54"/>
      <c r="R381" s="54"/>
      <c r="S381" s="54"/>
      <c r="V381" s="54"/>
      <c r="W381" s="54"/>
      <c r="X381" s="54"/>
      <c r="AA381" s="54"/>
      <c r="AB381" s="54"/>
      <c r="AC381" s="54"/>
      <c r="AF381" s="54"/>
      <c r="AG381" s="54"/>
      <c r="AH381" s="54"/>
    </row>
    <row r="382" spans="17:34" x14ac:dyDescent="0.3">
      <c r="Q382" s="54"/>
      <c r="R382" s="54"/>
      <c r="S382" s="54"/>
      <c r="V382" s="54"/>
      <c r="W382" s="54"/>
      <c r="X382" s="54"/>
      <c r="AA382" s="54"/>
      <c r="AB382" s="54"/>
      <c r="AC382" s="54"/>
      <c r="AF382" s="54"/>
      <c r="AG382" s="54"/>
      <c r="AH382" s="54"/>
    </row>
    <row r="383" spans="17:34" x14ac:dyDescent="0.3">
      <c r="Q383" s="54"/>
      <c r="R383" s="54"/>
      <c r="S383" s="54"/>
      <c r="V383" s="54"/>
      <c r="W383" s="54"/>
      <c r="X383" s="54"/>
      <c r="AA383" s="54"/>
      <c r="AB383" s="54"/>
      <c r="AC383" s="54"/>
      <c r="AF383" s="54"/>
      <c r="AG383" s="54"/>
      <c r="AH383" s="54"/>
    </row>
    <row r="384" spans="17:34" x14ac:dyDescent="0.3">
      <c r="Q384" s="54"/>
      <c r="R384" s="54"/>
      <c r="S384" s="54"/>
      <c r="V384" s="54"/>
      <c r="W384" s="54"/>
      <c r="X384" s="54"/>
      <c r="AA384" s="54"/>
      <c r="AB384" s="54"/>
      <c r="AC384" s="54"/>
      <c r="AF384" s="54"/>
      <c r="AG384" s="54"/>
      <c r="AH384" s="54"/>
    </row>
    <row r="385" spans="17:34" x14ac:dyDescent="0.3">
      <c r="Q385" s="54"/>
      <c r="R385" s="54"/>
      <c r="S385" s="54"/>
      <c r="V385" s="54"/>
      <c r="W385" s="54"/>
      <c r="X385" s="54"/>
      <c r="AA385" s="54"/>
      <c r="AB385" s="54"/>
      <c r="AC385" s="54"/>
      <c r="AF385" s="54"/>
      <c r="AG385" s="54"/>
      <c r="AH385" s="54"/>
    </row>
    <row r="386" spans="17:34" x14ac:dyDescent="0.3">
      <c r="Q386" s="54"/>
      <c r="R386" s="54"/>
      <c r="S386" s="54"/>
      <c r="V386" s="54"/>
      <c r="W386" s="54"/>
      <c r="X386" s="54"/>
      <c r="AA386" s="54"/>
      <c r="AB386" s="54"/>
      <c r="AC386" s="54"/>
      <c r="AF386" s="54"/>
      <c r="AG386" s="54"/>
      <c r="AH386" s="54"/>
    </row>
    <row r="387" spans="17:34" x14ac:dyDescent="0.3">
      <c r="Q387" s="54"/>
      <c r="R387" s="54"/>
      <c r="S387" s="54"/>
      <c r="V387" s="54"/>
      <c r="W387" s="54"/>
      <c r="X387" s="54"/>
      <c r="AA387" s="54"/>
      <c r="AB387" s="54"/>
      <c r="AC387" s="54"/>
      <c r="AF387" s="54"/>
      <c r="AG387" s="54"/>
      <c r="AH387" s="54"/>
    </row>
    <row r="388" spans="17:34" x14ac:dyDescent="0.3">
      <c r="Q388" s="54"/>
      <c r="R388" s="54"/>
      <c r="S388" s="54"/>
      <c r="V388" s="54"/>
      <c r="W388" s="54"/>
      <c r="X388" s="54"/>
      <c r="AA388" s="54"/>
      <c r="AB388" s="54"/>
      <c r="AC388" s="54"/>
      <c r="AF388" s="54"/>
      <c r="AG388" s="54"/>
      <c r="AH388" s="54"/>
    </row>
    <row r="389" spans="17:34" x14ac:dyDescent="0.3">
      <c r="Q389" s="54"/>
      <c r="R389" s="54"/>
      <c r="S389" s="54"/>
      <c r="V389" s="54"/>
      <c r="W389" s="54"/>
      <c r="X389" s="54"/>
      <c r="AA389" s="54"/>
      <c r="AB389" s="54"/>
      <c r="AC389" s="54"/>
      <c r="AF389" s="54"/>
      <c r="AG389" s="54"/>
      <c r="AH389" s="54"/>
    </row>
    <row r="390" spans="17:34" x14ac:dyDescent="0.3">
      <c r="Q390" s="54"/>
      <c r="R390" s="54"/>
      <c r="S390" s="54"/>
      <c r="V390" s="54"/>
      <c r="W390" s="54"/>
      <c r="X390" s="54"/>
      <c r="AA390" s="54"/>
      <c r="AB390" s="54"/>
      <c r="AC390" s="54"/>
      <c r="AF390" s="54"/>
      <c r="AG390" s="54"/>
      <c r="AH390" s="54"/>
    </row>
    <row r="391" spans="17:34" x14ac:dyDescent="0.3">
      <c r="Q391" s="54"/>
      <c r="R391" s="54"/>
      <c r="S391" s="54"/>
      <c r="V391" s="54"/>
      <c r="W391" s="54"/>
      <c r="X391" s="54"/>
      <c r="AA391" s="54"/>
      <c r="AB391" s="54"/>
      <c r="AC391" s="54"/>
      <c r="AF391" s="54"/>
      <c r="AG391" s="54"/>
      <c r="AH391" s="54"/>
    </row>
    <row r="392" spans="17:34" x14ac:dyDescent="0.3">
      <c r="Q392" s="54"/>
      <c r="R392" s="54"/>
      <c r="S392" s="54"/>
      <c r="V392" s="54"/>
      <c r="W392" s="54"/>
      <c r="X392" s="54"/>
      <c r="AA392" s="54"/>
      <c r="AB392" s="54"/>
      <c r="AC392" s="54"/>
      <c r="AF392" s="54"/>
      <c r="AG392" s="54"/>
      <c r="AH392" s="54"/>
    </row>
    <row r="393" spans="17:34" x14ac:dyDescent="0.3">
      <c r="Q393" s="54"/>
      <c r="R393" s="54"/>
      <c r="S393" s="54"/>
      <c r="V393" s="54"/>
      <c r="W393" s="54"/>
      <c r="X393" s="54"/>
      <c r="AA393" s="54"/>
      <c r="AB393" s="54"/>
      <c r="AC393" s="54"/>
      <c r="AF393" s="54"/>
      <c r="AG393" s="54"/>
      <c r="AH393" s="54"/>
    </row>
    <row r="394" spans="17:34" x14ac:dyDescent="0.3">
      <c r="Q394" s="54"/>
      <c r="R394" s="54"/>
      <c r="S394" s="54"/>
      <c r="V394" s="54"/>
      <c r="W394" s="54"/>
      <c r="X394" s="54"/>
      <c r="AA394" s="54"/>
      <c r="AB394" s="54"/>
      <c r="AC394" s="54"/>
      <c r="AF394" s="54"/>
      <c r="AG394" s="54"/>
      <c r="AH394" s="54"/>
    </row>
    <row r="395" spans="17:34" x14ac:dyDescent="0.3">
      <c r="Q395" s="54"/>
      <c r="R395" s="54"/>
      <c r="S395" s="54"/>
      <c r="V395" s="54"/>
      <c r="W395" s="54"/>
      <c r="X395" s="54"/>
      <c r="AA395" s="54"/>
      <c r="AB395" s="54"/>
      <c r="AC395" s="54"/>
      <c r="AF395" s="54"/>
      <c r="AG395" s="54"/>
      <c r="AH395" s="54"/>
    </row>
    <row r="396" spans="17:34" x14ac:dyDescent="0.3">
      <c r="Q396" s="54"/>
      <c r="R396" s="54"/>
      <c r="S396" s="54"/>
      <c r="V396" s="54"/>
      <c r="W396" s="54"/>
      <c r="X396" s="54"/>
      <c r="AA396" s="54"/>
      <c r="AB396" s="54"/>
      <c r="AC396" s="54"/>
      <c r="AF396" s="54"/>
      <c r="AG396" s="54"/>
      <c r="AH396" s="54"/>
    </row>
    <row r="397" spans="17:34" x14ac:dyDescent="0.3">
      <c r="Q397" s="54"/>
      <c r="R397" s="54"/>
      <c r="S397" s="54"/>
      <c r="V397" s="54"/>
      <c r="W397" s="54"/>
      <c r="X397" s="54"/>
      <c r="AA397" s="54"/>
      <c r="AB397" s="54"/>
      <c r="AC397" s="54"/>
      <c r="AF397" s="54"/>
      <c r="AG397" s="54"/>
      <c r="AH397" s="54"/>
    </row>
    <row r="398" spans="17:34" x14ac:dyDescent="0.3">
      <c r="Q398" s="54"/>
      <c r="R398" s="54"/>
      <c r="S398" s="54"/>
      <c r="V398" s="54"/>
      <c r="W398" s="54"/>
      <c r="X398" s="54"/>
      <c r="AA398" s="54"/>
      <c r="AB398" s="54"/>
      <c r="AC398" s="54"/>
      <c r="AF398" s="54"/>
      <c r="AG398" s="54"/>
      <c r="AH398" s="54"/>
    </row>
    <row r="399" spans="17:34" x14ac:dyDescent="0.3">
      <c r="Q399" s="54"/>
      <c r="R399" s="54"/>
      <c r="S399" s="54"/>
      <c r="V399" s="54"/>
      <c r="W399" s="54"/>
      <c r="X399" s="54"/>
      <c r="AA399" s="54"/>
      <c r="AB399" s="54"/>
      <c r="AC399" s="54"/>
      <c r="AF399" s="54"/>
      <c r="AG399" s="54"/>
      <c r="AH399" s="54"/>
    </row>
    <row r="400" spans="17:34" x14ac:dyDescent="0.3">
      <c r="Q400" s="54"/>
      <c r="R400" s="54"/>
      <c r="S400" s="54"/>
      <c r="V400" s="54"/>
      <c r="W400" s="54"/>
      <c r="X400" s="54"/>
      <c r="AA400" s="54"/>
      <c r="AB400" s="54"/>
      <c r="AC400" s="54"/>
      <c r="AF400" s="54"/>
      <c r="AG400" s="54"/>
      <c r="AH400" s="54"/>
    </row>
    <row r="401" spans="17:34" x14ac:dyDescent="0.3">
      <c r="Q401" s="54"/>
      <c r="R401" s="54"/>
      <c r="S401" s="54"/>
      <c r="V401" s="54"/>
      <c r="W401" s="54"/>
      <c r="X401" s="54"/>
      <c r="AA401" s="54"/>
      <c r="AB401" s="54"/>
      <c r="AC401" s="54"/>
      <c r="AF401" s="54"/>
      <c r="AG401" s="54"/>
      <c r="AH401" s="54"/>
    </row>
    <row r="402" spans="17:34" x14ac:dyDescent="0.3">
      <c r="Q402" s="54"/>
      <c r="R402" s="54"/>
      <c r="S402" s="54"/>
      <c r="V402" s="54"/>
      <c r="W402" s="54"/>
      <c r="X402" s="54"/>
      <c r="AA402" s="54"/>
      <c r="AB402" s="54"/>
      <c r="AC402" s="54"/>
      <c r="AF402" s="54"/>
      <c r="AG402" s="54"/>
      <c r="AH402" s="54"/>
    </row>
    <row r="403" spans="17:34" x14ac:dyDescent="0.3">
      <c r="Q403" s="54"/>
      <c r="R403" s="54"/>
      <c r="S403" s="54"/>
      <c r="V403" s="54"/>
      <c r="W403" s="54"/>
      <c r="X403" s="54"/>
      <c r="AA403" s="54"/>
      <c r="AB403" s="54"/>
      <c r="AC403" s="54"/>
      <c r="AF403" s="54"/>
      <c r="AG403" s="54"/>
      <c r="AH403" s="54"/>
    </row>
    <row r="404" spans="17:34" x14ac:dyDescent="0.3">
      <c r="Q404" s="54"/>
      <c r="R404" s="54"/>
      <c r="S404" s="54"/>
      <c r="V404" s="54"/>
      <c r="W404" s="54"/>
      <c r="X404" s="54"/>
      <c r="AA404" s="54"/>
      <c r="AB404" s="54"/>
      <c r="AC404" s="54"/>
      <c r="AF404" s="54"/>
      <c r="AG404" s="54"/>
      <c r="AH404" s="54"/>
    </row>
    <row r="405" spans="17:34" x14ac:dyDescent="0.3">
      <c r="Q405" s="54"/>
      <c r="R405" s="54"/>
      <c r="S405" s="54"/>
      <c r="V405" s="54"/>
      <c r="W405" s="54"/>
      <c r="X405" s="54"/>
      <c r="AA405" s="54"/>
      <c r="AB405" s="54"/>
      <c r="AC405" s="54"/>
      <c r="AF405" s="54"/>
      <c r="AG405" s="54"/>
      <c r="AH405" s="54"/>
    </row>
    <row r="406" spans="17:34" x14ac:dyDescent="0.3">
      <c r="Q406" s="54"/>
      <c r="R406" s="54"/>
      <c r="S406" s="54"/>
      <c r="V406" s="54"/>
      <c r="W406" s="54"/>
      <c r="X406" s="54"/>
      <c r="AA406" s="54"/>
      <c r="AB406" s="54"/>
      <c r="AC406" s="54"/>
      <c r="AF406" s="54"/>
      <c r="AG406" s="54"/>
      <c r="AH406" s="54"/>
    </row>
    <row r="407" spans="17:34" x14ac:dyDescent="0.3">
      <c r="Q407" s="54"/>
      <c r="R407" s="54"/>
      <c r="S407" s="54"/>
      <c r="V407" s="54"/>
      <c r="W407" s="54"/>
      <c r="X407" s="54"/>
      <c r="AA407" s="54"/>
      <c r="AB407" s="54"/>
      <c r="AC407" s="54"/>
      <c r="AF407" s="54"/>
      <c r="AG407" s="54"/>
      <c r="AH407" s="54"/>
    </row>
    <row r="408" spans="17:34" x14ac:dyDescent="0.3">
      <c r="Q408" s="54"/>
      <c r="R408" s="54"/>
      <c r="S408" s="54"/>
      <c r="V408" s="54"/>
      <c r="W408" s="54"/>
      <c r="X408" s="54"/>
      <c r="AA408" s="54"/>
      <c r="AB408" s="54"/>
      <c r="AC408" s="54"/>
      <c r="AF408" s="54"/>
      <c r="AG408" s="54"/>
      <c r="AH408" s="54"/>
    </row>
    <row r="409" spans="17:34" x14ac:dyDescent="0.3">
      <c r="Q409" s="54"/>
      <c r="R409" s="54"/>
      <c r="S409" s="54"/>
      <c r="V409" s="54"/>
      <c r="W409" s="54"/>
      <c r="X409" s="54"/>
      <c r="AA409" s="54"/>
      <c r="AB409" s="54"/>
      <c r="AC409" s="54"/>
      <c r="AF409" s="54"/>
      <c r="AG409" s="54"/>
      <c r="AH409" s="54"/>
    </row>
    <row r="410" spans="17:34" x14ac:dyDescent="0.3">
      <c r="Q410" s="54"/>
      <c r="R410" s="54"/>
      <c r="S410" s="54"/>
      <c r="V410" s="54"/>
      <c r="W410" s="54"/>
      <c r="X410" s="54"/>
      <c r="AA410" s="54"/>
      <c r="AB410" s="54"/>
      <c r="AC410" s="54"/>
      <c r="AF410" s="54"/>
      <c r="AG410" s="54"/>
      <c r="AH410" s="54"/>
    </row>
    <row r="411" spans="17:34" x14ac:dyDescent="0.3">
      <c r="Q411" s="54"/>
      <c r="R411" s="54"/>
      <c r="S411" s="54"/>
      <c r="V411" s="54"/>
      <c r="W411" s="54"/>
      <c r="X411" s="54"/>
      <c r="AA411" s="54"/>
      <c r="AB411" s="54"/>
      <c r="AC411" s="54"/>
      <c r="AF411" s="54"/>
      <c r="AG411" s="54"/>
      <c r="AH411" s="54"/>
    </row>
    <row r="412" spans="17:34" x14ac:dyDescent="0.3">
      <c r="Q412" s="54"/>
      <c r="R412" s="54"/>
      <c r="S412" s="54"/>
      <c r="V412" s="54"/>
      <c r="W412" s="54"/>
      <c r="X412" s="54"/>
      <c r="AA412" s="54"/>
      <c r="AB412" s="54"/>
      <c r="AC412" s="54"/>
      <c r="AF412" s="54"/>
      <c r="AG412" s="54"/>
      <c r="AH412" s="54"/>
    </row>
    <row r="413" spans="17:34" x14ac:dyDescent="0.3">
      <c r="Q413" s="54"/>
      <c r="R413" s="54"/>
      <c r="S413" s="54"/>
      <c r="V413" s="54"/>
      <c r="W413" s="54"/>
      <c r="X413" s="54"/>
      <c r="AA413" s="54"/>
      <c r="AB413" s="54"/>
      <c r="AC413" s="54"/>
      <c r="AF413" s="54"/>
      <c r="AG413" s="54"/>
      <c r="AH413" s="54"/>
    </row>
    <row r="414" spans="17:34" x14ac:dyDescent="0.3">
      <c r="Q414" s="54"/>
      <c r="R414" s="54"/>
      <c r="S414" s="54"/>
      <c r="V414" s="54"/>
      <c r="W414" s="54"/>
      <c r="X414" s="54"/>
      <c r="AA414" s="54"/>
      <c r="AB414" s="54"/>
      <c r="AC414" s="54"/>
      <c r="AF414" s="54"/>
      <c r="AG414" s="54"/>
      <c r="AH414" s="54"/>
    </row>
    <row r="415" spans="17:34" x14ac:dyDescent="0.3">
      <c r="Q415" s="54"/>
      <c r="R415" s="54"/>
      <c r="S415" s="54"/>
      <c r="V415" s="54"/>
      <c r="W415" s="54"/>
      <c r="X415" s="54"/>
      <c r="AA415" s="54"/>
      <c r="AB415" s="54"/>
      <c r="AC415" s="54"/>
      <c r="AF415" s="54"/>
      <c r="AG415" s="54"/>
      <c r="AH415" s="54"/>
    </row>
    <row r="416" spans="17:34" x14ac:dyDescent="0.3">
      <c r="Q416" s="54"/>
      <c r="R416" s="54"/>
      <c r="S416" s="54"/>
      <c r="V416" s="54"/>
      <c r="W416" s="54"/>
      <c r="X416" s="54"/>
      <c r="AA416" s="54"/>
      <c r="AB416" s="54"/>
      <c r="AC416" s="54"/>
      <c r="AF416" s="54"/>
      <c r="AG416" s="54"/>
      <c r="AH416" s="54"/>
    </row>
    <row r="417" spans="17:34" x14ac:dyDescent="0.3">
      <c r="Q417" s="54"/>
      <c r="R417" s="54"/>
      <c r="S417" s="54"/>
      <c r="V417" s="54"/>
      <c r="W417" s="54"/>
      <c r="X417" s="54"/>
      <c r="AA417" s="54"/>
      <c r="AB417" s="54"/>
      <c r="AC417" s="54"/>
      <c r="AF417" s="54"/>
      <c r="AG417" s="54"/>
      <c r="AH417" s="54"/>
    </row>
    <row r="418" spans="17:34" x14ac:dyDescent="0.3">
      <c r="Q418" s="54"/>
      <c r="R418" s="54"/>
      <c r="S418" s="54"/>
      <c r="V418" s="54"/>
      <c r="W418" s="54"/>
      <c r="X418" s="54"/>
      <c r="AA418" s="54"/>
      <c r="AB418" s="54"/>
      <c r="AC418" s="54"/>
      <c r="AF418" s="54"/>
      <c r="AG418" s="54"/>
      <c r="AH418" s="54"/>
    </row>
    <row r="419" spans="17:34" x14ac:dyDescent="0.3">
      <c r="Q419" s="54"/>
      <c r="R419" s="54"/>
      <c r="S419" s="54"/>
      <c r="V419" s="54"/>
      <c r="W419" s="54"/>
      <c r="X419" s="54"/>
      <c r="AA419" s="54"/>
      <c r="AB419" s="54"/>
      <c r="AC419" s="54"/>
      <c r="AF419" s="54"/>
      <c r="AG419" s="54"/>
      <c r="AH419" s="54"/>
    </row>
    <row r="420" spans="17:34" x14ac:dyDescent="0.3">
      <c r="Q420" s="54"/>
      <c r="R420" s="54"/>
      <c r="S420" s="54"/>
      <c r="V420" s="54"/>
      <c r="W420" s="54"/>
      <c r="X420" s="54"/>
      <c r="AA420" s="54"/>
      <c r="AB420" s="54"/>
      <c r="AC420" s="54"/>
      <c r="AF420" s="54"/>
      <c r="AG420" s="54"/>
      <c r="AH420" s="54"/>
    </row>
    <row r="421" spans="17:34" x14ac:dyDescent="0.3">
      <c r="Q421" s="54"/>
      <c r="R421" s="54"/>
      <c r="S421" s="54"/>
      <c r="V421" s="54"/>
      <c r="W421" s="54"/>
      <c r="X421" s="54"/>
      <c r="AA421" s="54"/>
      <c r="AB421" s="54"/>
      <c r="AC421" s="54"/>
      <c r="AF421" s="54"/>
      <c r="AG421" s="54"/>
      <c r="AH421" s="54"/>
    </row>
    <row r="422" spans="17:34" x14ac:dyDescent="0.3">
      <c r="Q422" s="54"/>
      <c r="R422" s="54"/>
      <c r="S422" s="54"/>
      <c r="V422" s="54"/>
      <c r="W422" s="54"/>
      <c r="X422" s="54"/>
      <c r="AA422" s="54"/>
      <c r="AB422" s="54"/>
      <c r="AC422" s="54"/>
      <c r="AF422" s="54"/>
      <c r="AG422" s="54"/>
      <c r="AH422" s="54"/>
    </row>
    <row r="423" spans="17:34" x14ac:dyDescent="0.3">
      <c r="Q423" s="54"/>
      <c r="R423" s="54"/>
      <c r="S423" s="54"/>
      <c r="V423" s="54"/>
      <c r="W423" s="54"/>
      <c r="X423" s="54"/>
      <c r="AA423" s="54"/>
      <c r="AB423" s="54"/>
      <c r="AC423" s="54"/>
      <c r="AF423" s="54"/>
      <c r="AG423" s="54"/>
      <c r="AH423" s="54"/>
    </row>
    <row r="424" spans="17:34" x14ac:dyDescent="0.3">
      <c r="Q424" s="54"/>
      <c r="R424" s="54"/>
      <c r="S424" s="54"/>
      <c r="V424" s="54"/>
      <c r="W424" s="54"/>
      <c r="X424" s="54"/>
      <c r="AA424" s="54"/>
      <c r="AB424" s="54"/>
      <c r="AC424" s="54"/>
      <c r="AF424" s="54"/>
      <c r="AG424" s="54"/>
      <c r="AH424" s="54"/>
    </row>
    <row r="425" spans="17:34" x14ac:dyDescent="0.3">
      <c r="Q425" s="54"/>
      <c r="R425" s="54"/>
      <c r="S425" s="54"/>
      <c r="V425" s="54"/>
      <c r="W425" s="54"/>
      <c r="X425" s="54"/>
      <c r="AA425" s="54"/>
      <c r="AB425" s="54"/>
      <c r="AC425" s="54"/>
      <c r="AF425" s="54"/>
      <c r="AG425" s="54"/>
      <c r="AH425" s="54"/>
    </row>
    <row r="426" spans="17:34" x14ac:dyDescent="0.3">
      <c r="Q426" s="54"/>
      <c r="R426" s="54"/>
      <c r="S426" s="54"/>
      <c r="V426" s="54"/>
      <c r="W426" s="54"/>
      <c r="X426" s="54"/>
      <c r="AA426" s="54"/>
      <c r="AB426" s="54"/>
      <c r="AC426" s="54"/>
      <c r="AF426" s="54"/>
      <c r="AG426" s="54"/>
      <c r="AH426" s="54"/>
    </row>
    <row r="427" spans="17:34" x14ac:dyDescent="0.3">
      <c r="Q427" s="54"/>
      <c r="R427" s="54"/>
      <c r="S427" s="54"/>
      <c r="V427" s="54"/>
      <c r="W427" s="54"/>
      <c r="X427" s="54"/>
      <c r="AA427" s="54"/>
      <c r="AB427" s="54"/>
      <c r="AC427" s="54"/>
      <c r="AF427" s="54"/>
      <c r="AG427" s="54"/>
      <c r="AH427" s="54"/>
    </row>
    <row r="428" spans="17:34" x14ac:dyDescent="0.3">
      <c r="Q428" s="54"/>
      <c r="R428" s="54"/>
      <c r="S428" s="54"/>
      <c r="V428" s="54"/>
      <c r="W428" s="54"/>
      <c r="X428" s="54"/>
      <c r="AA428" s="54"/>
      <c r="AB428" s="54"/>
      <c r="AC428" s="54"/>
      <c r="AF428" s="54"/>
      <c r="AG428" s="54"/>
      <c r="AH428" s="54"/>
    </row>
    <row r="429" spans="17:34" x14ac:dyDescent="0.3">
      <c r="Q429" s="54"/>
      <c r="R429" s="54"/>
      <c r="S429" s="54"/>
      <c r="V429" s="54"/>
      <c r="W429" s="54"/>
      <c r="X429" s="54"/>
      <c r="AA429" s="54"/>
      <c r="AB429" s="54"/>
      <c r="AC429" s="54"/>
      <c r="AF429" s="54"/>
      <c r="AG429" s="54"/>
      <c r="AH429" s="54"/>
    </row>
    <row r="430" spans="17:34" x14ac:dyDescent="0.3">
      <c r="Q430" s="54"/>
      <c r="R430" s="54"/>
      <c r="S430" s="54"/>
      <c r="V430" s="54"/>
      <c r="W430" s="54"/>
      <c r="X430" s="54"/>
      <c r="AA430" s="54"/>
      <c r="AB430" s="54"/>
      <c r="AC430" s="54"/>
      <c r="AF430" s="54"/>
      <c r="AG430" s="54"/>
      <c r="AH430" s="54"/>
    </row>
    <row r="431" spans="17:34" x14ac:dyDescent="0.3">
      <c r="Q431" s="54"/>
      <c r="R431" s="54"/>
      <c r="S431" s="54"/>
      <c r="V431" s="54"/>
      <c r="W431" s="54"/>
      <c r="X431" s="54"/>
      <c r="AA431" s="54"/>
      <c r="AB431" s="54"/>
      <c r="AC431" s="54"/>
      <c r="AF431" s="54"/>
      <c r="AG431" s="54"/>
      <c r="AH431" s="54"/>
    </row>
    <row r="432" spans="17:34" x14ac:dyDescent="0.3">
      <c r="Q432" s="54"/>
      <c r="R432" s="54"/>
      <c r="S432" s="54"/>
      <c r="V432" s="54"/>
      <c r="W432" s="54"/>
      <c r="X432" s="54"/>
      <c r="AA432" s="54"/>
      <c r="AB432" s="54"/>
      <c r="AC432" s="54"/>
      <c r="AF432" s="54"/>
      <c r="AG432" s="54"/>
      <c r="AH432" s="54"/>
    </row>
    <row r="433" spans="17:34" x14ac:dyDescent="0.3">
      <c r="Q433" s="54"/>
      <c r="R433" s="54"/>
      <c r="S433" s="54"/>
      <c r="V433" s="54"/>
      <c r="W433" s="54"/>
      <c r="X433" s="54"/>
      <c r="AA433" s="54"/>
      <c r="AB433" s="54"/>
      <c r="AC433" s="54"/>
      <c r="AF433" s="54"/>
      <c r="AG433" s="54"/>
      <c r="AH433" s="54"/>
    </row>
    <row r="434" spans="17:34" x14ac:dyDescent="0.3">
      <c r="Q434" s="54"/>
      <c r="R434" s="54"/>
      <c r="S434" s="54"/>
      <c r="V434" s="54"/>
      <c r="W434" s="54"/>
      <c r="X434" s="54"/>
      <c r="AA434" s="54"/>
      <c r="AB434" s="54"/>
      <c r="AC434" s="54"/>
      <c r="AF434" s="54"/>
      <c r="AG434" s="54"/>
      <c r="AH434" s="54"/>
    </row>
    <row r="435" spans="17:34" x14ac:dyDescent="0.3">
      <c r="Q435" s="54"/>
      <c r="R435" s="54"/>
      <c r="S435" s="54"/>
      <c r="V435" s="54"/>
      <c r="W435" s="54"/>
      <c r="X435" s="54"/>
      <c r="AA435" s="54"/>
      <c r="AB435" s="54"/>
      <c r="AC435" s="54"/>
      <c r="AF435" s="54"/>
      <c r="AG435" s="54"/>
      <c r="AH435" s="54"/>
    </row>
    <row r="436" spans="17:34" x14ac:dyDescent="0.3">
      <c r="Q436" s="54"/>
      <c r="R436" s="54"/>
      <c r="S436" s="54"/>
      <c r="V436" s="54"/>
      <c r="W436" s="54"/>
      <c r="X436" s="54"/>
      <c r="AA436" s="54"/>
      <c r="AB436" s="54"/>
      <c r="AC436" s="54"/>
      <c r="AF436" s="54"/>
      <c r="AG436" s="54"/>
      <c r="AH436" s="54"/>
    </row>
    <row r="437" spans="17:34" x14ac:dyDescent="0.3">
      <c r="Q437" s="54"/>
      <c r="R437" s="54"/>
      <c r="S437" s="54"/>
      <c r="V437" s="54"/>
      <c r="W437" s="54"/>
      <c r="X437" s="54"/>
      <c r="AA437" s="54"/>
      <c r="AB437" s="54"/>
      <c r="AC437" s="54"/>
      <c r="AF437" s="54"/>
      <c r="AG437" s="54"/>
      <c r="AH437" s="54"/>
    </row>
    <row r="438" spans="17:34" x14ac:dyDescent="0.3">
      <c r="Q438" s="54"/>
      <c r="R438" s="54"/>
      <c r="S438" s="54"/>
      <c r="V438" s="54"/>
      <c r="W438" s="54"/>
      <c r="X438" s="54"/>
      <c r="AA438" s="54"/>
      <c r="AB438" s="54"/>
      <c r="AC438" s="54"/>
      <c r="AF438" s="54"/>
      <c r="AG438" s="54"/>
      <c r="AH438" s="54"/>
    </row>
    <row r="439" spans="17:34" x14ac:dyDescent="0.3">
      <c r="Q439" s="54"/>
      <c r="R439" s="54"/>
      <c r="S439" s="54"/>
      <c r="V439" s="54"/>
      <c r="W439" s="54"/>
      <c r="X439" s="54"/>
      <c r="AA439" s="54"/>
      <c r="AB439" s="54"/>
      <c r="AC439" s="54"/>
      <c r="AF439" s="54"/>
      <c r="AG439" s="54"/>
      <c r="AH439" s="54"/>
    </row>
    <row r="440" spans="17:34" x14ac:dyDescent="0.3">
      <c r="Q440" s="54"/>
      <c r="R440" s="54"/>
      <c r="S440" s="54"/>
      <c r="V440" s="54"/>
      <c r="W440" s="54"/>
      <c r="X440" s="54"/>
      <c r="AA440" s="54"/>
      <c r="AB440" s="54"/>
      <c r="AC440" s="54"/>
      <c r="AF440" s="54"/>
      <c r="AG440" s="54"/>
      <c r="AH440" s="54"/>
    </row>
    <row r="441" spans="17:34" x14ac:dyDescent="0.3">
      <c r="Q441" s="54"/>
      <c r="R441" s="54"/>
      <c r="S441" s="54"/>
      <c r="V441" s="54"/>
      <c r="W441" s="54"/>
      <c r="X441" s="54"/>
      <c r="AA441" s="54"/>
      <c r="AB441" s="54"/>
      <c r="AC441" s="54"/>
      <c r="AF441" s="54"/>
      <c r="AG441" s="54"/>
      <c r="AH441" s="54"/>
    </row>
    <row r="442" spans="17:34" x14ac:dyDescent="0.3">
      <c r="Q442" s="54"/>
      <c r="R442" s="54"/>
      <c r="S442" s="54"/>
      <c r="V442" s="54"/>
      <c r="W442" s="54"/>
      <c r="X442" s="54"/>
      <c r="AA442" s="54"/>
      <c r="AB442" s="54"/>
      <c r="AC442" s="54"/>
      <c r="AF442" s="54"/>
      <c r="AG442" s="54"/>
      <c r="AH442" s="54"/>
    </row>
    <row r="443" spans="17:34" x14ac:dyDescent="0.3">
      <c r="Q443" s="54"/>
      <c r="R443" s="54"/>
      <c r="S443" s="54"/>
      <c r="V443" s="54"/>
      <c r="W443" s="54"/>
      <c r="X443" s="54"/>
      <c r="AA443" s="54"/>
      <c r="AB443" s="54"/>
      <c r="AC443" s="54"/>
      <c r="AF443" s="54"/>
      <c r="AG443" s="54"/>
      <c r="AH443" s="54"/>
    </row>
    <row r="444" spans="17:34" x14ac:dyDescent="0.3">
      <c r="Q444" s="54"/>
      <c r="R444" s="54"/>
      <c r="S444" s="54"/>
      <c r="V444" s="54"/>
      <c r="W444" s="54"/>
      <c r="X444" s="54"/>
      <c r="AA444" s="54"/>
      <c r="AB444" s="54"/>
      <c r="AC444" s="54"/>
      <c r="AF444" s="54"/>
      <c r="AG444" s="54"/>
      <c r="AH444" s="54"/>
    </row>
    <row r="445" spans="17:34" x14ac:dyDescent="0.3">
      <c r="Q445" s="54"/>
      <c r="R445" s="54"/>
      <c r="S445" s="54"/>
      <c r="V445" s="54"/>
      <c r="W445" s="54"/>
      <c r="X445" s="54"/>
      <c r="AA445" s="54"/>
      <c r="AB445" s="54"/>
      <c r="AC445" s="54"/>
      <c r="AF445" s="54"/>
      <c r="AG445" s="54"/>
      <c r="AH445" s="54"/>
    </row>
    <row r="446" spans="17:34" x14ac:dyDescent="0.3">
      <c r="Q446" s="54"/>
      <c r="R446" s="54"/>
      <c r="S446" s="54"/>
      <c r="V446" s="54"/>
      <c r="W446" s="54"/>
      <c r="X446" s="54"/>
      <c r="AA446" s="54"/>
      <c r="AB446" s="54"/>
      <c r="AC446" s="54"/>
      <c r="AF446" s="54"/>
      <c r="AG446" s="54"/>
      <c r="AH446" s="54"/>
    </row>
    <row r="447" spans="17:34" x14ac:dyDescent="0.3">
      <c r="Q447" s="54"/>
      <c r="R447" s="54"/>
      <c r="S447" s="54"/>
      <c r="V447" s="54"/>
      <c r="W447" s="54"/>
      <c r="X447" s="54"/>
      <c r="AA447" s="54"/>
      <c r="AB447" s="54"/>
      <c r="AC447" s="54"/>
      <c r="AF447" s="54"/>
      <c r="AG447" s="54"/>
      <c r="AH447" s="54"/>
    </row>
    <row r="448" spans="17:34" x14ac:dyDescent="0.3">
      <c r="Q448" s="54"/>
      <c r="R448" s="54"/>
      <c r="S448" s="54"/>
      <c r="V448" s="54"/>
      <c r="W448" s="54"/>
      <c r="X448" s="54"/>
      <c r="AA448" s="54"/>
      <c r="AB448" s="54"/>
      <c r="AC448" s="54"/>
      <c r="AF448" s="54"/>
      <c r="AG448" s="54"/>
      <c r="AH448" s="54"/>
    </row>
    <row r="449" spans="17:34" x14ac:dyDescent="0.3">
      <c r="Q449" s="54"/>
      <c r="R449" s="54"/>
      <c r="S449" s="54"/>
      <c r="V449" s="54"/>
      <c r="W449" s="54"/>
      <c r="X449" s="54"/>
      <c r="AA449" s="54"/>
      <c r="AB449" s="54"/>
      <c r="AC449" s="54"/>
      <c r="AF449" s="54"/>
      <c r="AG449" s="54"/>
      <c r="AH449" s="54"/>
    </row>
    <row r="450" spans="17:34" x14ac:dyDescent="0.3">
      <c r="Q450" s="54"/>
      <c r="R450" s="54"/>
      <c r="S450" s="54"/>
      <c r="V450" s="54"/>
      <c r="W450" s="54"/>
      <c r="X450" s="54"/>
      <c r="AA450" s="54"/>
      <c r="AB450" s="54"/>
      <c r="AC450" s="54"/>
      <c r="AF450" s="54"/>
      <c r="AG450" s="54"/>
      <c r="AH450" s="54"/>
    </row>
    <row r="451" spans="17:34" x14ac:dyDescent="0.3">
      <c r="Q451" s="54"/>
      <c r="R451" s="54"/>
      <c r="S451" s="54"/>
      <c r="V451" s="54"/>
      <c r="W451" s="54"/>
      <c r="X451" s="54"/>
      <c r="AA451" s="54"/>
      <c r="AB451" s="54"/>
      <c r="AC451" s="54"/>
      <c r="AF451" s="54"/>
      <c r="AG451" s="54"/>
      <c r="AH451" s="54"/>
    </row>
    <row r="452" spans="17:34" x14ac:dyDescent="0.3">
      <c r="Q452" s="54"/>
      <c r="R452" s="54"/>
      <c r="S452" s="54"/>
      <c r="V452" s="54"/>
      <c r="W452" s="54"/>
      <c r="X452" s="54"/>
      <c r="AA452" s="54"/>
      <c r="AB452" s="54"/>
      <c r="AC452" s="54"/>
      <c r="AF452" s="54"/>
      <c r="AG452" s="54"/>
      <c r="AH452" s="54"/>
    </row>
    <row r="453" spans="17:34" x14ac:dyDescent="0.3">
      <c r="Q453" s="54"/>
      <c r="R453" s="54"/>
      <c r="S453" s="54"/>
      <c r="V453" s="54"/>
      <c r="W453" s="54"/>
      <c r="X453" s="54"/>
      <c r="AA453" s="54"/>
      <c r="AB453" s="54"/>
      <c r="AC453" s="54"/>
      <c r="AF453" s="54"/>
      <c r="AG453" s="54"/>
      <c r="AH453" s="54"/>
    </row>
    <row r="454" spans="17:34" x14ac:dyDescent="0.3">
      <c r="AF454" s="54"/>
      <c r="AG454" s="54"/>
      <c r="AH454" s="54"/>
    </row>
  </sheetData>
  <sheetProtection algorithmName="SHA-512" hashValue="GLXUbgZRqFK04l4q/3yRLy/shwMvyZ7fGKt8SrNdLpSGhxHaP1F8lsAM8ZMnFfiId1oYNiaEsgbrFOrvhb5lTA==" saltValue="5PI/1P83+glam9dsqP86jg==" spinCount="100000" sheet="1" objects="1" scenarios="1" selectLockedCells="1"/>
  <mergeCells count="5">
    <mergeCell ref="F70:H70"/>
    <mergeCell ref="N3:O3"/>
    <mergeCell ref="A1:P1"/>
    <mergeCell ref="F81:G81"/>
    <mergeCell ref="K35:P36"/>
  </mergeCells>
  <phoneticPr fontId="5" type="noConversion"/>
  <conditionalFormatting sqref="E6:E8">
    <cfRule type="cellIs" dxfId="34" priority="63" stopIfTrue="1" operator="notBetween">
      <formula>3.5</formula>
      <formula>VIN_MAX_RATING</formula>
    </cfRule>
  </conditionalFormatting>
  <conditionalFormatting sqref="E9">
    <cfRule type="cellIs" dxfId="33" priority="60" stopIfTrue="1" operator="notBetween">
      <formula>0.8</formula>
      <formula>VOUT_MAX_RATING</formula>
    </cfRule>
  </conditionalFormatting>
  <conditionalFormatting sqref="E33">
    <cfRule type="cellIs" dxfId="32" priority="58" stopIfTrue="1" operator="lessThanOrEqual">
      <formula>0</formula>
    </cfRule>
  </conditionalFormatting>
  <conditionalFormatting sqref="E35">
    <cfRule type="cellIs" dxfId="31" priority="57" stopIfTrue="1" operator="lessThan">
      <formula>$E$34</formula>
    </cfRule>
  </conditionalFormatting>
  <conditionalFormatting sqref="E37">
    <cfRule type="cellIs" dxfId="30" priority="56" stopIfTrue="1" operator="greaterThan">
      <formula>$E$36</formula>
    </cfRule>
  </conditionalFormatting>
  <conditionalFormatting sqref="E42">
    <cfRule type="cellIs" dxfId="29" priority="54" stopIfTrue="1" operator="equal">
      <formula>0</formula>
    </cfRule>
  </conditionalFormatting>
  <conditionalFormatting sqref="E44">
    <cfRule type="cellIs" dxfId="28" priority="53" stopIfTrue="1" operator="lessThan">
      <formula>$E$43</formula>
    </cfRule>
  </conditionalFormatting>
  <conditionalFormatting sqref="E46">
    <cfRule type="cellIs" dxfId="27" priority="51" stopIfTrue="1" operator="greaterThan">
      <formula>$E$45</formula>
    </cfRule>
    <cfRule type="cellIs" dxfId="26" priority="52" stopIfTrue="1" operator="equal">
      <formula>0</formula>
    </cfRule>
  </conditionalFormatting>
  <conditionalFormatting sqref="E11">
    <cfRule type="expression" dxfId="25" priority="24">
      <formula>OR(Fsw/1000&gt;2200, Fsw/1000&lt;100)</formula>
    </cfRule>
  </conditionalFormatting>
  <conditionalFormatting sqref="E7">
    <cfRule type="cellIs" dxfId="24" priority="67" operator="notBetween">
      <formula>$E$6</formula>
      <formula>$E$8</formula>
    </cfRule>
  </conditionalFormatting>
  <conditionalFormatting sqref="I10">
    <cfRule type="cellIs" dxfId="23" priority="40" stopIfTrue="1" operator="notBetween">
      <formula>0.6</formula>
      <formula>55</formula>
    </cfRule>
  </conditionalFormatting>
  <conditionalFormatting sqref="I33">
    <cfRule type="cellIs" dxfId="22" priority="39" stopIfTrue="1" operator="lessThanOrEqual">
      <formula>0</formula>
    </cfRule>
  </conditionalFormatting>
  <conditionalFormatting sqref="I35">
    <cfRule type="cellIs" dxfId="21" priority="38" stopIfTrue="1" operator="lessThan">
      <formula>$E$34</formula>
    </cfRule>
  </conditionalFormatting>
  <conditionalFormatting sqref="I37">
    <cfRule type="cellIs" dxfId="20" priority="37" stopIfTrue="1" operator="greaterThan">
      <formula>$I$36</formula>
    </cfRule>
  </conditionalFormatting>
  <conditionalFormatting sqref="A74:G74">
    <cfRule type="expression" dxfId="19" priority="35">
      <formula>MODE=2</formula>
    </cfRule>
  </conditionalFormatting>
  <conditionalFormatting sqref="H41 G43:H43 G45 G47:G49 G61:J67 G33:J39 G16:J23 G26:J30 G10:J10">
    <cfRule type="expression" dxfId="18" priority="32">
      <formula>MODE=2</formula>
    </cfRule>
  </conditionalFormatting>
  <conditionalFormatting sqref="I65:J67">
    <cfRule type="expression" dxfId="17" priority="30">
      <formula>OR((Ch2_VOUT=1),(Ch2_VOUT=2))</formula>
    </cfRule>
  </conditionalFormatting>
  <conditionalFormatting sqref="D80 G79">
    <cfRule type="expression" dxfId="16" priority="28">
      <formula>MODE=2</formula>
    </cfRule>
  </conditionalFormatting>
  <conditionalFormatting sqref="H79:I93">
    <cfRule type="expression" dxfId="15" priority="26">
      <formula>MODE=2</formula>
    </cfRule>
  </conditionalFormatting>
  <conditionalFormatting sqref="D65">
    <cfRule type="expression" dxfId="14" priority="8">
      <formula>OR((VOUT_setting=2),(VOUT_setting=3))</formula>
    </cfRule>
  </conditionalFormatting>
  <conditionalFormatting sqref="A49:F49">
    <cfRule type="expression" dxfId="13" priority="6">
      <formula>INFILTER_TYPE=1</formula>
    </cfRule>
  </conditionalFormatting>
  <conditionalFormatting sqref="D53:F54">
    <cfRule type="expression" dxfId="12" priority="5">
      <formula>UVLO_TYPE=2</formula>
    </cfRule>
  </conditionalFormatting>
  <conditionalFormatting sqref="D61:F64">
    <cfRule type="expression" dxfId="11" priority="4">
      <formula>COMP_TYPE=1</formula>
    </cfRule>
  </conditionalFormatting>
  <conditionalFormatting sqref="A69:H73">
    <cfRule type="expression" dxfId="10" priority="3">
      <formula>COMP_TYPE=1</formula>
    </cfRule>
  </conditionalFormatting>
  <conditionalFormatting sqref="E65:F67">
    <cfRule type="expression" dxfId="9" priority="2">
      <formula>VOUT_setting&lt;&gt;1</formula>
    </cfRule>
  </conditionalFormatting>
  <conditionalFormatting sqref="D66">
    <cfRule type="expression" dxfId="8" priority="1">
      <formula>VOUT_setting&lt;&gt;1</formula>
    </cfRule>
  </conditionalFormatting>
  <hyperlinks>
    <hyperlink ref="N2" r:id="rId1" xr:uid="{00000000-0004-0000-0000-000000000000}"/>
    <hyperlink ref="C3" r:id="rId2" xr:uid="{00000000-0004-0000-0000-000001000000}"/>
  </hyperlinks>
  <printOptions horizontalCentered="1" verticalCentered="1"/>
  <pageMargins left="0.1" right="0.1" top="0.1" bottom="0.1" header="0.25" footer="0.25"/>
  <pageSetup scale="46" orientation="portrait" r:id="rId3"/>
  <headerFooter alignWithMargins="0"/>
  <rowBreaks count="1" manualBreakCount="1">
    <brk id="106" max="16383" man="1"/>
  </rowBreaks>
  <ignoredErrors>
    <ignoredError sqref="E69"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809785" r:id="rId7" name="Drop Down 7993">
              <controlPr defaultSize="0" autoLine="0" autoPict="0">
                <anchor moveWithCells="1">
                  <from>
                    <xdr:col>15</xdr:col>
                    <xdr:colOff>5480050</xdr:colOff>
                    <xdr:row>0</xdr:row>
                    <xdr:rowOff>177800</xdr:rowOff>
                  </from>
                  <to>
                    <xdr:col>15</xdr:col>
                    <xdr:colOff>5861050</xdr:colOff>
                    <xdr:row>0</xdr:row>
                    <xdr:rowOff>419100</xdr:rowOff>
                  </to>
                </anchor>
              </controlPr>
            </control>
          </mc:Choice>
        </mc:AlternateContent>
        <mc:AlternateContent xmlns:mc="http://schemas.openxmlformats.org/markup-compatibility/2006">
          <mc:Choice Requires="x14">
            <control shapeId="673288" r:id="rId8" name="Button 520">
              <controlPr locked="0" defaultSize="0" print="0" autoFill="0" autoPict="0" macro="[0]!FIXValues">
                <anchor moveWithCells="1" sizeWithCells="1">
                  <from>
                    <xdr:col>2</xdr:col>
                    <xdr:colOff>330200</xdr:colOff>
                    <xdr:row>70</xdr:row>
                    <xdr:rowOff>76200</xdr:rowOff>
                  </from>
                  <to>
                    <xdr:col>2</xdr:col>
                    <xdr:colOff>901700</xdr:colOff>
                    <xdr:row>72</xdr:row>
                    <xdr:rowOff>139700</xdr:rowOff>
                  </to>
                </anchor>
              </controlPr>
            </control>
          </mc:Choice>
        </mc:AlternateContent>
        <mc:AlternateContent xmlns:mc="http://schemas.openxmlformats.org/markup-compatibility/2006">
          <mc:Choice Requires="x14">
            <control shapeId="673260" r:id="rId9" name="Button 492">
              <controlPr locked="0" defaultSize="0" print="0" autoFill="0" autoPict="0" macro="[0]!RESETValues">
                <anchor moveWithCells="1" sizeWithCells="1">
                  <from>
                    <xdr:col>2</xdr:col>
                    <xdr:colOff>330200</xdr:colOff>
                    <xdr:row>70</xdr:row>
                    <xdr:rowOff>76200</xdr:rowOff>
                  </from>
                  <to>
                    <xdr:col>2</xdr:col>
                    <xdr:colOff>901700</xdr:colOff>
                    <xdr:row>72</xdr:row>
                    <xdr:rowOff>139700</xdr:rowOff>
                  </to>
                </anchor>
              </controlPr>
            </control>
          </mc:Choice>
        </mc:AlternateContent>
        <mc:AlternateContent xmlns:mc="http://schemas.openxmlformats.org/markup-compatibility/2006">
          <mc:Choice Requires="x14">
            <control shapeId="672829" r:id="rId10" name="Spinner 61">
              <controlPr defaultSize="0" autoPict="0">
                <anchor moveWithCells="1" sizeWithCells="1">
                  <from>
                    <xdr:col>5</xdr:col>
                    <xdr:colOff>25400</xdr:colOff>
                    <xdr:row>62</xdr:row>
                    <xdr:rowOff>0</xdr:rowOff>
                  </from>
                  <to>
                    <xdr:col>5</xdr:col>
                    <xdr:colOff>184150</xdr:colOff>
                    <xdr:row>62</xdr:row>
                    <xdr:rowOff>184150</xdr:rowOff>
                  </to>
                </anchor>
              </controlPr>
            </control>
          </mc:Choice>
        </mc:AlternateContent>
        <mc:AlternateContent xmlns:mc="http://schemas.openxmlformats.org/markup-compatibility/2006">
          <mc:Choice Requires="x14">
            <control shapeId="672895" r:id="rId11" name="Spinner 127">
              <controlPr defaultSize="0" autoPict="0">
                <anchor moveWithCells="1" sizeWithCells="1">
                  <from>
                    <xdr:col>5</xdr:col>
                    <xdr:colOff>139700</xdr:colOff>
                    <xdr:row>6</xdr:row>
                    <xdr:rowOff>25400</xdr:rowOff>
                  </from>
                  <to>
                    <xdr:col>5</xdr:col>
                    <xdr:colOff>304800</xdr:colOff>
                    <xdr:row>7</xdr:row>
                    <xdr:rowOff>25400</xdr:rowOff>
                  </to>
                </anchor>
              </controlPr>
            </control>
          </mc:Choice>
        </mc:AlternateContent>
        <mc:AlternateContent xmlns:mc="http://schemas.openxmlformats.org/markup-compatibility/2006">
          <mc:Choice Requires="x14">
            <control shapeId="673029" r:id="rId12" name="Drop Down 261">
              <controlPr defaultSize="0" autoLine="0" autoPict="0">
                <anchor moveWithCells="1">
                  <from>
                    <xdr:col>2</xdr:col>
                    <xdr:colOff>146050</xdr:colOff>
                    <xdr:row>50</xdr:row>
                    <xdr:rowOff>63500</xdr:rowOff>
                  </from>
                  <to>
                    <xdr:col>3</xdr:col>
                    <xdr:colOff>450850</xdr:colOff>
                    <xdr:row>51</xdr:row>
                    <xdr:rowOff>139700</xdr:rowOff>
                  </to>
                </anchor>
              </controlPr>
            </control>
          </mc:Choice>
        </mc:AlternateContent>
        <mc:AlternateContent xmlns:mc="http://schemas.openxmlformats.org/markup-compatibility/2006">
          <mc:Choice Requires="x14">
            <control shapeId="685442" r:id="rId13" name="Drop Down 1410">
              <controlPr defaultSize="0" autoLine="0" autoPict="0">
                <anchor moveWithCells="1">
                  <from>
                    <xdr:col>4</xdr:col>
                    <xdr:colOff>69850</xdr:colOff>
                    <xdr:row>50</xdr:row>
                    <xdr:rowOff>63500</xdr:rowOff>
                  </from>
                  <to>
                    <xdr:col>5</xdr:col>
                    <xdr:colOff>336550</xdr:colOff>
                    <xdr:row>51</xdr:row>
                    <xdr:rowOff>139700</xdr:rowOff>
                  </to>
                </anchor>
              </controlPr>
            </control>
          </mc:Choice>
        </mc:AlternateContent>
        <mc:AlternateContent xmlns:mc="http://schemas.openxmlformats.org/markup-compatibility/2006">
          <mc:Choice Requires="x14">
            <control shapeId="685906" r:id="rId14" name="Drop Down 1874">
              <controlPr defaultSize="0" autoLine="0" autoPict="0">
                <anchor moveWithCells="1">
                  <from>
                    <xdr:col>0</xdr:col>
                    <xdr:colOff>25400</xdr:colOff>
                    <xdr:row>101</xdr:row>
                    <xdr:rowOff>0</xdr:rowOff>
                  </from>
                  <to>
                    <xdr:col>2</xdr:col>
                    <xdr:colOff>25400</xdr:colOff>
                    <xdr:row>102</xdr:row>
                    <xdr:rowOff>0</xdr:rowOff>
                  </to>
                </anchor>
              </controlPr>
            </control>
          </mc:Choice>
        </mc:AlternateContent>
        <mc:AlternateContent xmlns:mc="http://schemas.openxmlformats.org/markup-compatibility/2006">
          <mc:Choice Requires="x14">
            <control shapeId="700305" r:id="rId15" name="Drop Down 2961">
              <controlPr defaultSize="0" autoLine="0" autoPict="0">
                <anchor moveWithCells="1">
                  <from>
                    <xdr:col>3</xdr:col>
                    <xdr:colOff>228600</xdr:colOff>
                    <xdr:row>58</xdr:row>
                    <xdr:rowOff>177800</xdr:rowOff>
                  </from>
                  <to>
                    <xdr:col>6</xdr:col>
                    <xdr:colOff>0</xdr:colOff>
                    <xdr:row>59</xdr:row>
                    <xdr:rowOff>234950</xdr:rowOff>
                  </to>
                </anchor>
              </controlPr>
            </control>
          </mc:Choice>
        </mc:AlternateContent>
        <mc:AlternateContent xmlns:mc="http://schemas.openxmlformats.org/markup-compatibility/2006">
          <mc:Choice Requires="x14">
            <control shapeId="770900" r:id="rId16" name="Drop Down 6996">
              <controlPr defaultSize="0" autoLine="0" autoPict="0">
                <anchor moveWithCells="1">
                  <from>
                    <xdr:col>0</xdr:col>
                    <xdr:colOff>63500</xdr:colOff>
                    <xdr:row>50</xdr:row>
                    <xdr:rowOff>63500</xdr:rowOff>
                  </from>
                  <to>
                    <xdr:col>2</xdr:col>
                    <xdr:colOff>31750</xdr:colOff>
                    <xdr:row>51</xdr:row>
                    <xdr:rowOff>139700</xdr:rowOff>
                  </to>
                </anchor>
              </controlPr>
            </control>
          </mc:Choice>
        </mc:AlternateContent>
        <mc:AlternateContent xmlns:mc="http://schemas.openxmlformats.org/markup-compatibility/2006">
          <mc:Choice Requires="x14">
            <control shapeId="843436" r:id="rId17" name="Drop Down 8876">
              <controlPr locked="0" defaultSize="0" autoLine="0" autoPict="0">
                <anchor moveWithCells="1">
                  <from>
                    <xdr:col>6</xdr:col>
                    <xdr:colOff>76200</xdr:colOff>
                    <xdr:row>4</xdr:row>
                    <xdr:rowOff>6350</xdr:rowOff>
                  </from>
                  <to>
                    <xdr:col>7</xdr:col>
                    <xdr:colOff>114300</xdr:colOff>
                    <xdr:row>4</xdr:row>
                    <xdr:rowOff>254000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rgb="FF00B0F0"/>
  </sheetPr>
  <dimension ref="A1:R453"/>
  <sheetViews>
    <sheetView zoomScaleNormal="100" workbookViewId="0">
      <selection activeCell="O12" sqref="O12"/>
    </sheetView>
  </sheetViews>
  <sheetFormatPr defaultColWidth="9.08984375" defaultRowHeight="13" x14ac:dyDescent="0.3"/>
  <cols>
    <col min="1" max="3" width="9.08984375" style="307"/>
    <col min="4" max="4" width="4.36328125" style="307" customWidth="1"/>
    <col min="5" max="6" width="9.54296875" style="307" bestFit="1" customWidth="1"/>
    <col min="7" max="7" width="9.08984375" style="307"/>
    <col min="8" max="8" width="5.08984375" style="307" customWidth="1"/>
    <col min="9" max="9" width="10.6328125" style="307" customWidth="1"/>
    <col min="10" max="10" width="9.6328125" style="307" customWidth="1"/>
    <col min="11" max="11" width="11.453125" style="307" customWidth="1"/>
    <col min="12" max="12" width="5.54296875" style="307" customWidth="1"/>
    <col min="13" max="15" width="9.08984375" style="307"/>
    <col min="16" max="16" width="9.08984375" style="307" customWidth="1"/>
    <col min="17" max="17" width="102" style="307" customWidth="1"/>
    <col min="18" max="18" width="30.453125" style="701" customWidth="1"/>
    <col min="19" max="16384" width="9.08984375" style="307"/>
  </cols>
  <sheetData>
    <row r="1" spans="1:18" ht="39.5" x14ac:dyDescent="0.3">
      <c r="A1" s="793" t="s">
        <v>913</v>
      </c>
      <c r="B1" s="794"/>
      <c r="C1" s="794"/>
      <c r="D1" s="794"/>
      <c r="E1" s="794"/>
      <c r="F1" s="794"/>
      <c r="G1" s="794"/>
      <c r="H1" s="794"/>
      <c r="I1" s="794"/>
      <c r="J1" s="794"/>
      <c r="K1" s="794"/>
      <c r="L1" s="794"/>
      <c r="M1" s="794"/>
      <c r="N1" s="794"/>
      <c r="O1" s="794"/>
      <c r="P1" s="794"/>
      <c r="Q1" s="794"/>
      <c r="R1" s="706"/>
    </row>
    <row r="2" spans="1:18" ht="17.75" customHeight="1" x14ac:dyDescent="0.65">
      <c r="A2" s="755"/>
      <c r="B2" s="749"/>
      <c r="C2" s="749"/>
      <c r="D2" s="749"/>
      <c r="E2" s="749"/>
      <c r="F2" s="749"/>
      <c r="G2" s="749"/>
      <c r="H2" s="749"/>
      <c r="I2" s="749"/>
      <c r="J2" s="749"/>
      <c r="K2" s="749"/>
      <c r="L2" s="749"/>
      <c r="M2" s="749"/>
      <c r="N2" s="749"/>
      <c r="O2" s="502" t="s">
        <v>585</v>
      </c>
      <c r="P2" s="749"/>
      <c r="Q2" s="749"/>
      <c r="R2" s="706"/>
    </row>
    <row r="3" spans="1:18" ht="16.25" customHeight="1" x14ac:dyDescent="0.65">
      <c r="A3" s="754" t="s">
        <v>232</v>
      </c>
      <c r="B3" s="753"/>
      <c r="C3" s="501" t="s">
        <v>233</v>
      </c>
      <c r="D3" s="752"/>
      <c r="E3" s="751"/>
      <c r="F3" s="750" t="s">
        <v>145</v>
      </c>
      <c r="G3" s="748"/>
      <c r="H3" s="749"/>
      <c r="I3" s="749"/>
      <c r="J3" s="748"/>
      <c r="K3" s="747"/>
      <c r="L3" s="746"/>
      <c r="M3" s="706"/>
      <c r="N3" s="706"/>
      <c r="O3" s="795" t="s">
        <v>51</v>
      </c>
      <c r="P3" s="795"/>
      <c r="Q3" s="706" t="s">
        <v>165</v>
      </c>
      <c r="R3" s="706"/>
    </row>
    <row r="4" spans="1:18" ht="14.75" customHeight="1" thickBot="1" x14ac:dyDescent="0.5">
      <c r="A4" s="745"/>
      <c r="B4" s="744"/>
      <c r="C4" s="743"/>
      <c r="D4" s="743"/>
      <c r="E4" s="743"/>
      <c r="F4" s="743"/>
      <c r="G4" s="743"/>
      <c r="H4" s="743"/>
      <c r="I4" s="743"/>
      <c r="J4" s="743"/>
      <c r="K4" s="743"/>
      <c r="L4" s="743"/>
      <c r="M4" s="742"/>
      <c r="N4" s="742"/>
      <c r="O4" s="742"/>
      <c r="P4" s="742"/>
      <c r="Q4" s="742"/>
      <c r="R4" s="706"/>
    </row>
    <row r="5" spans="1:18" x14ac:dyDescent="0.3">
      <c r="A5" s="244"/>
      <c r="B5" s="244"/>
      <c r="C5" s="244"/>
      <c r="D5" s="244"/>
      <c r="E5" s="244"/>
      <c r="F5" s="244"/>
      <c r="G5" s="244"/>
      <c r="H5" s="244"/>
      <c r="I5" s="244"/>
      <c r="J5" s="244"/>
      <c r="K5" s="244"/>
      <c r="L5" s="244"/>
      <c r="M5" s="244"/>
      <c r="N5" s="244"/>
      <c r="O5" s="244"/>
      <c r="P5" s="244"/>
      <c r="Q5" s="244"/>
      <c r="R5" s="706"/>
    </row>
    <row r="6" spans="1:18" ht="13.5" thickBot="1" x14ac:dyDescent="0.35">
      <c r="A6" s="244"/>
      <c r="B6" s="244"/>
      <c r="C6" s="244"/>
      <c r="D6" s="244"/>
      <c r="E6" s="244"/>
      <c r="F6" s="244"/>
      <c r="G6" s="244"/>
      <c r="H6" s="244"/>
      <c r="I6" s="244"/>
      <c r="J6" s="244"/>
      <c r="K6" s="244"/>
      <c r="L6" s="244"/>
      <c r="M6" s="244"/>
      <c r="N6" s="244"/>
      <c r="O6" s="244"/>
      <c r="P6" s="244"/>
      <c r="Q6" s="244"/>
      <c r="R6" s="706"/>
    </row>
    <row r="7" spans="1:18" ht="18" x14ac:dyDescent="0.4">
      <c r="A7" s="741"/>
      <c r="B7" s="740"/>
      <c r="C7" s="739"/>
      <c r="D7" s="739"/>
      <c r="E7" s="738" t="s">
        <v>877</v>
      </c>
      <c r="F7" s="759"/>
      <c r="G7" s="707"/>
      <c r="H7" s="737"/>
      <c r="I7" s="715"/>
      <c r="J7" s="707"/>
      <c r="K7" s="707"/>
      <c r="L7" s="707"/>
      <c r="M7" s="738" t="s">
        <v>779</v>
      </c>
      <c r="N7" s="707"/>
      <c r="O7" s="707"/>
      <c r="P7" s="737"/>
      <c r="Q7" s="244"/>
      <c r="R7" s="706"/>
    </row>
    <row r="8" spans="1:18" ht="13.5" thickBot="1" x14ac:dyDescent="0.35">
      <c r="A8" s="727"/>
      <c r="B8" s="721"/>
      <c r="C8" s="721"/>
      <c r="D8" s="721"/>
      <c r="E8" s="721"/>
      <c r="F8" s="721"/>
      <c r="G8" s="721"/>
      <c r="H8" s="728"/>
      <c r="I8" s="727"/>
      <c r="J8" s="721"/>
      <c r="K8" s="721"/>
      <c r="L8" s="721"/>
      <c r="M8" s="384"/>
      <c r="N8" s="721"/>
      <c r="O8" s="384"/>
      <c r="P8" s="728"/>
      <c r="Q8" s="244"/>
      <c r="R8" s="706"/>
    </row>
    <row r="9" spans="1:18" ht="15.5" x14ac:dyDescent="0.4">
      <c r="A9" s="707"/>
      <c r="B9" s="736" t="s">
        <v>894</v>
      </c>
      <c r="C9" s="658" t="str">
        <f>'Design Regulator'!E49 &amp; " µH"</f>
        <v>0.68 µH</v>
      </c>
      <c r="D9" s="734"/>
      <c r="E9" s="715"/>
      <c r="F9" s="736" t="s">
        <v>898</v>
      </c>
      <c r="G9" s="128">
        <v>1</v>
      </c>
      <c r="H9" s="734" t="s">
        <v>214</v>
      </c>
      <c r="I9" s="715"/>
      <c r="J9" s="736" t="s">
        <v>907</v>
      </c>
      <c r="K9" s="658" t="s">
        <v>876</v>
      </c>
      <c r="L9" s="734" t="s">
        <v>214</v>
      </c>
      <c r="M9" s="707"/>
      <c r="N9" s="736" t="s">
        <v>900</v>
      </c>
      <c r="O9" s="735">
        <v>0.68</v>
      </c>
      <c r="P9" s="734" t="s">
        <v>214</v>
      </c>
      <c r="Q9" s="244"/>
      <c r="R9" s="706"/>
    </row>
    <row r="10" spans="1:18" ht="15.5" x14ac:dyDescent="0.4">
      <c r="A10" s="244"/>
      <c r="B10" s="731" t="s">
        <v>895</v>
      </c>
      <c r="C10" s="760" t="e">
        <f>'Design Regulator'!#REF! &amp; " µF"</f>
        <v>#REF!</v>
      </c>
      <c r="D10" s="729"/>
      <c r="E10" s="244"/>
      <c r="F10" s="731" t="s">
        <v>899</v>
      </c>
      <c r="G10" s="128">
        <v>1</v>
      </c>
      <c r="H10" s="729" t="s">
        <v>215</v>
      </c>
      <c r="I10" s="733"/>
      <c r="J10" s="732" t="s">
        <v>906</v>
      </c>
      <c r="K10" s="760" t="s">
        <v>876</v>
      </c>
      <c r="L10" s="729" t="s">
        <v>215</v>
      </c>
      <c r="M10" s="244"/>
      <c r="N10" s="731" t="s">
        <v>903</v>
      </c>
      <c r="O10" s="730">
        <v>0.47</v>
      </c>
      <c r="P10" s="729" t="s">
        <v>215</v>
      </c>
      <c r="Q10" s="244"/>
      <c r="R10" s="706"/>
    </row>
    <row r="11" spans="1:18" ht="15.5" x14ac:dyDescent="0.4">
      <c r="A11" s="732"/>
      <c r="B11" s="731" t="s">
        <v>896</v>
      </c>
      <c r="C11" s="760" t="e">
        <f>'Design Regulator'!#REF! &amp; " µF"</f>
        <v>#REF!</v>
      </c>
      <c r="D11" s="729"/>
      <c r="E11" s="244"/>
      <c r="F11" s="731" t="s">
        <v>887</v>
      </c>
      <c r="G11" s="764">
        <v>1</v>
      </c>
      <c r="H11" s="729" t="s">
        <v>215</v>
      </c>
      <c r="I11" s="733"/>
      <c r="J11" s="732" t="s">
        <v>905</v>
      </c>
      <c r="K11" s="761" t="s">
        <v>882</v>
      </c>
      <c r="L11" s="729" t="s">
        <v>215</v>
      </c>
      <c r="M11" s="244"/>
      <c r="N11" s="731" t="s">
        <v>902</v>
      </c>
      <c r="O11" s="730">
        <v>1</v>
      </c>
      <c r="P11" s="729" t="s">
        <v>215</v>
      </c>
      <c r="Q11" s="244"/>
      <c r="R11" s="706"/>
    </row>
    <row r="12" spans="1:18" ht="16" thickBot="1" x14ac:dyDescent="0.45">
      <c r="A12" s="725"/>
      <c r="B12" s="724" t="s">
        <v>897</v>
      </c>
      <c r="C12" s="763" t="e">
        <f>'Design Regulator'!#REF! &amp; " Ω"</f>
        <v>#REF!</v>
      </c>
      <c r="D12" s="722"/>
      <c r="E12" s="727"/>
      <c r="F12" s="724" t="s">
        <v>888</v>
      </c>
      <c r="G12" s="765">
        <v>10</v>
      </c>
      <c r="H12" s="722" t="s">
        <v>138</v>
      </c>
      <c r="I12" s="727"/>
      <c r="J12" s="726" t="s">
        <v>904</v>
      </c>
      <c r="K12" s="725" t="e">
        <f>Rdamp_PassiveStd</f>
        <v>#VALUE!</v>
      </c>
      <c r="L12" s="722" t="s">
        <v>138</v>
      </c>
      <c r="M12" s="721"/>
      <c r="N12" s="724" t="s">
        <v>901</v>
      </c>
      <c r="O12" s="723">
        <v>0.35</v>
      </c>
      <c r="P12" s="722" t="s">
        <v>138</v>
      </c>
      <c r="Q12" s="244"/>
      <c r="R12" s="706"/>
    </row>
    <row r="13" spans="1:18" x14ac:dyDescent="0.3">
      <c r="A13" s="244"/>
      <c r="B13" s="244"/>
      <c r="C13" s="244"/>
      <c r="D13" s="244"/>
      <c r="E13" s="244"/>
      <c r="F13" s="244"/>
      <c r="G13" s="244"/>
      <c r="H13" s="244"/>
      <c r="I13" s="244"/>
      <c r="J13" s="244"/>
      <c r="K13" s="244"/>
      <c r="L13" s="244"/>
      <c r="M13" s="244"/>
      <c r="N13" s="244"/>
      <c r="O13" s="244"/>
      <c r="P13" s="244"/>
      <c r="Q13" s="244"/>
      <c r="R13" s="706"/>
    </row>
    <row r="14" spans="1:18" ht="15.5" x14ac:dyDescent="0.35">
      <c r="A14" s="244"/>
      <c r="B14" s="244"/>
      <c r="C14" s="775" t="s">
        <v>914</v>
      </c>
      <c r="D14" s="244"/>
      <c r="E14" s="244"/>
      <c r="F14" s="774">
        <f>VinRipple_dBuV</f>
        <v>90.276721041428459</v>
      </c>
      <c r="G14" s="720" t="s">
        <v>849</v>
      </c>
      <c r="H14" s="773" t="s">
        <v>787</v>
      </c>
      <c r="I14" s="771">
        <f>VinRipple_dBuV</f>
        <v>90.276721041428459</v>
      </c>
      <c r="J14" s="719" t="s">
        <v>849</v>
      </c>
      <c r="L14" s="244"/>
      <c r="M14" s="244"/>
      <c r="N14" s="244"/>
      <c r="O14" s="244"/>
      <c r="P14" s="244"/>
      <c r="Q14" s="244"/>
      <c r="R14" s="706"/>
    </row>
    <row r="15" spans="1:18" ht="13.5" thickBot="1" x14ac:dyDescent="0.35">
      <c r="A15" s="244"/>
      <c r="B15" s="721"/>
      <c r="C15" s="244"/>
      <c r="D15" s="721"/>
      <c r="E15" s="721"/>
      <c r="F15" s="721"/>
      <c r="G15" s="244"/>
      <c r="H15" s="244"/>
      <c r="I15" s="244"/>
      <c r="J15" s="244"/>
      <c r="K15" s="244"/>
      <c r="L15" s="244"/>
      <c r="M15" s="244"/>
      <c r="N15" s="244"/>
      <c r="O15" s="244"/>
      <c r="P15" s="244"/>
      <c r="Q15" s="244"/>
      <c r="R15" s="706"/>
    </row>
    <row r="16" spans="1:18" x14ac:dyDescent="0.3">
      <c r="A16" s="244"/>
      <c r="B16" s="757"/>
      <c r="C16" s="718"/>
      <c r="D16" s="717" t="s">
        <v>885</v>
      </c>
      <c r="E16" s="756" t="e">
        <f>-'Input Filter Calculations'!AM97</f>
        <v>#VALUE!</v>
      </c>
      <c r="F16" s="716" t="s">
        <v>804</v>
      </c>
      <c r="G16" s="244"/>
      <c r="H16" s="244"/>
      <c r="I16" s="244"/>
      <c r="J16" s="762"/>
      <c r="K16" s="715"/>
      <c r="L16" s="714" t="s">
        <v>886</v>
      </c>
      <c r="M16" s="769">
        <f>-'Input Filter Calculations'!AA97</f>
        <v>12.386592769258344</v>
      </c>
      <c r="N16" s="713" t="s">
        <v>804</v>
      </c>
      <c r="O16" s="244"/>
      <c r="P16" s="244"/>
      <c r="Q16" s="244"/>
      <c r="R16" s="706"/>
    </row>
    <row r="17" spans="1:18" ht="13.5" thickBot="1" x14ac:dyDescent="0.35">
      <c r="A17" s="711"/>
      <c r="B17" s="758"/>
      <c r="C17" s="710"/>
      <c r="D17" s="712" t="s">
        <v>875</v>
      </c>
      <c r="E17" s="768" t="e">
        <f>VinRipple_dBuV-E16</f>
        <v>#VALUE!</v>
      </c>
      <c r="F17" s="708" t="s">
        <v>786</v>
      </c>
      <c r="G17" s="244"/>
      <c r="H17" s="244"/>
      <c r="J17" s="758"/>
      <c r="K17" s="710"/>
      <c r="L17" s="709" t="s">
        <v>874</v>
      </c>
      <c r="M17" s="770">
        <f>VinRipple_dBuV-M16</f>
        <v>77.890128272170116</v>
      </c>
      <c r="N17" s="708" t="s">
        <v>786</v>
      </c>
      <c r="O17" s="244"/>
      <c r="P17" s="244"/>
      <c r="Q17" s="244"/>
      <c r="R17" s="706"/>
    </row>
    <row r="18" spans="1:18" x14ac:dyDescent="0.3">
      <c r="A18" s="244"/>
      <c r="B18" s="244"/>
      <c r="C18" s="244"/>
      <c r="D18" s="244"/>
      <c r="E18" s="244"/>
      <c r="F18" s="244"/>
      <c r="G18" s="244"/>
      <c r="H18" s="244"/>
      <c r="I18" s="244"/>
      <c r="J18" s="244"/>
      <c r="K18" s="244"/>
      <c r="L18" s="244"/>
      <c r="M18" s="244"/>
      <c r="N18" s="244"/>
      <c r="O18" s="244"/>
      <c r="P18" s="244"/>
      <c r="Q18" s="244"/>
      <c r="R18" s="706"/>
    </row>
    <row r="19" spans="1:18" x14ac:dyDescent="0.3">
      <c r="A19" s="244"/>
      <c r="B19" s="244"/>
      <c r="C19" s="244"/>
      <c r="D19" s="244"/>
      <c r="E19" s="244"/>
      <c r="F19" s="244"/>
      <c r="G19" s="244"/>
      <c r="H19" s="244"/>
      <c r="I19" s="244"/>
      <c r="J19" s="244"/>
      <c r="K19" s="244"/>
      <c r="L19" s="244"/>
      <c r="M19" s="244"/>
      <c r="N19" s="244"/>
      <c r="O19" s="244"/>
      <c r="P19" s="244"/>
      <c r="Q19" s="244"/>
      <c r="R19" s="706"/>
    </row>
    <row r="20" spans="1:18" x14ac:dyDescent="0.3">
      <c r="A20" s="244"/>
      <c r="B20" s="244"/>
      <c r="C20" s="244"/>
      <c r="D20" s="244"/>
      <c r="E20" s="244"/>
      <c r="F20" s="244"/>
      <c r="G20" s="244"/>
      <c r="H20" s="244"/>
      <c r="I20" s="244"/>
      <c r="J20" s="244"/>
      <c r="K20" s="244"/>
      <c r="L20" s="244"/>
      <c r="M20" s="244"/>
      <c r="N20" s="244"/>
      <c r="O20" s="244"/>
      <c r="P20" s="244"/>
      <c r="Q20" s="244"/>
      <c r="R20" s="706"/>
    </row>
    <row r="21" spans="1:18" x14ac:dyDescent="0.3">
      <c r="A21" s="244"/>
      <c r="B21" s="244"/>
      <c r="C21" s="244"/>
      <c r="D21" s="244"/>
      <c r="E21" s="244"/>
      <c r="F21" s="244"/>
      <c r="G21" s="244"/>
      <c r="H21" s="244"/>
      <c r="I21" s="244"/>
      <c r="J21" s="244"/>
      <c r="K21" s="244"/>
      <c r="L21" s="244"/>
      <c r="M21" s="244"/>
      <c r="N21" s="244"/>
      <c r="O21" s="244"/>
      <c r="P21" s="244"/>
      <c r="Q21" s="244"/>
      <c r="R21" s="706"/>
    </row>
    <row r="22" spans="1:18" x14ac:dyDescent="0.3">
      <c r="A22" s="244"/>
      <c r="B22" s="244"/>
      <c r="C22" s="244"/>
      <c r="D22" s="244"/>
      <c r="E22" s="244"/>
      <c r="F22" s="244"/>
      <c r="G22" s="244"/>
      <c r="H22" s="244"/>
      <c r="I22" s="244"/>
      <c r="J22" s="244"/>
      <c r="K22" s="244"/>
      <c r="L22" s="244"/>
      <c r="M22" s="244"/>
      <c r="N22" s="244"/>
      <c r="O22" s="244"/>
      <c r="P22" s="244"/>
      <c r="Q22" s="244"/>
      <c r="R22" s="706"/>
    </row>
    <row r="23" spans="1:18" x14ac:dyDescent="0.3">
      <c r="A23" s="244"/>
      <c r="B23" s="244"/>
      <c r="C23" s="244"/>
      <c r="D23" s="244"/>
      <c r="E23" s="244"/>
      <c r="F23" s="244"/>
      <c r="G23" s="244"/>
      <c r="H23" s="244"/>
      <c r="I23" s="244"/>
      <c r="J23" s="244"/>
      <c r="K23" s="244"/>
      <c r="L23" s="244"/>
      <c r="M23" s="244"/>
      <c r="N23" s="244"/>
      <c r="O23" s="244"/>
      <c r="P23" s="244"/>
      <c r="Q23" s="244"/>
      <c r="R23" s="706"/>
    </row>
    <row r="24" spans="1:18" x14ac:dyDescent="0.3">
      <c r="A24" s="244"/>
      <c r="B24" s="244"/>
      <c r="C24" s="244"/>
      <c r="D24" s="244"/>
      <c r="E24" s="244"/>
      <c r="F24" s="244"/>
      <c r="G24" s="244"/>
      <c r="H24" s="244"/>
      <c r="I24" s="244"/>
      <c r="J24" s="244"/>
      <c r="K24" s="244"/>
      <c r="L24" s="244"/>
      <c r="M24" s="244"/>
      <c r="N24" s="244"/>
      <c r="O24" s="244"/>
      <c r="P24" s="244"/>
      <c r="Q24" s="244"/>
      <c r="R24" s="706"/>
    </row>
    <row r="25" spans="1:18" x14ac:dyDescent="0.3">
      <c r="A25" s="244"/>
      <c r="B25" s="244"/>
      <c r="C25" s="244"/>
      <c r="D25" s="244"/>
      <c r="E25" s="244"/>
      <c r="F25" s="244"/>
      <c r="G25" s="244"/>
      <c r="H25" s="244"/>
      <c r="I25" s="244"/>
      <c r="J25" s="244"/>
      <c r="K25" s="244"/>
      <c r="L25" s="244"/>
      <c r="M25" s="244"/>
      <c r="N25" s="244"/>
      <c r="O25" s="244"/>
      <c r="P25" s="244"/>
      <c r="Q25" s="244"/>
      <c r="R25" s="706"/>
    </row>
    <row r="26" spans="1:18" x14ac:dyDescent="0.3">
      <c r="A26" s="244"/>
      <c r="B26" s="244"/>
      <c r="C26" s="244"/>
      <c r="D26" s="244"/>
      <c r="E26" s="244"/>
      <c r="F26" s="244"/>
      <c r="G26" s="244"/>
      <c r="H26" s="244"/>
      <c r="I26" s="244"/>
      <c r="J26" s="244"/>
      <c r="K26" s="244"/>
      <c r="L26" s="244"/>
      <c r="M26" s="244"/>
      <c r="N26" s="244"/>
      <c r="O26" s="244"/>
      <c r="P26" s="244"/>
      <c r="Q26" s="244"/>
      <c r="R26" s="706"/>
    </row>
    <row r="27" spans="1:18" x14ac:dyDescent="0.3">
      <c r="A27" s="244"/>
      <c r="B27" s="244"/>
      <c r="C27" s="244"/>
      <c r="D27" s="244"/>
      <c r="E27" s="244"/>
      <c r="F27" s="244"/>
      <c r="G27" s="244"/>
      <c r="H27" s="244"/>
      <c r="I27" s="244"/>
      <c r="J27" s="244"/>
      <c r="K27" s="244"/>
      <c r="L27" s="244"/>
      <c r="M27" s="244"/>
      <c r="N27" s="244"/>
      <c r="O27" s="244"/>
      <c r="P27" s="244"/>
      <c r="Q27" s="244"/>
      <c r="R27" s="706"/>
    </row>
    <row r="28" spans="1:18" x14ac:dyDescent="0.3">
      <c r="A28" s="244"/>
      <c r="B28" s="244"/>
      <c r="C28" s="244"/>
      <c r="D28" s="244"/>
      <c r="E28" s="244"/>
      <c r="F28" s="244"/>
      <c r="G28" s="244"/>
      <c r="H28" s="244"/>
      <c r="I28" s="244"/>
      <c r="J28" s="244"/>
      <c r="K28" s="244"/>
      <c r="L28" s="244"/>
      <c r="M28" s="244"/>
      <c r="N28" s="244"/>
      <c r="O28" s="244"/>
      <c r="P28" s="244"/>
      <c r="Q28" s="244"/>
      <c r="R28" s="706"/>
    </row>
    <row r="29" spans="1:18" x14ac:dyDescent="0.3">
      <c r="A29" s="244"/>
      <c r="B29" s="244"/>
      <c r="C29" s="244"/>
      <c r="D29" s="244"/>
      <c r="E29" s="244"/>
      <c r="F29" s="244"/>
      <c r="G29" s="244"/>
      <c r="H29" s="244"/>
      <c r="I29" s="244"/>
      <c r="J29" s="244"/>
      <c r="K29" s="244"/>
      <c r="L29" s="244"/>
      <c r="M29" s="244"/>
      <c r="N29" s="244"/>
      <c r="O29" s="244"/>
      <c r="P29" s="244"/>
      <c r="Q29" s="244"/>
      <c r="R29" s="706"/>
    </row>
    <row r="30" spans="1:18" x14ac:dyDescent="0.3">
      <c r="A30" s="244"/>
      <c r="B30" s="244"/>
      <c r="C30" s="244"/>
      <c r="D30" s="244"/>
      <c r="E30" s="244"/>
      <c r="F30" s="244"/>
      <c r="G30" s="244"/>
      <c r="H30" s="244"/>
      <c r="I30" s="244"/>
      <c r="J30" s="244"/>
      <c r="K30" s="244"/>
      <c r="L30" s="244"/>
      <c r="M30" s="244"/>
      <c r="N30" s="244"/>
      <c r="O30" s="244"/>
      <c r="P30" s="244"/>
      <c r="Q30" s="244"/>
      <c r="R30" s="706"/>
    </row>
    <row r="31" spans="1:18" x14ac:dyDescent="0.3">
      <c r="A31" s="244"/>
      <c r="B31" s="244"/>
      <c r="C31" s="244"/>
      <c r="D31" s="244"/>
      <c r="E31" s="244"/>
      <c r="F31" s="244"/>
      <c r="G31" s="244"/>
      <c r="H31" s="244"/>
      <c r="I31" s="244"/>
      <c r="J31" s="244"/>
      <c r="K31" s="244"/>
      <c r="L31" s="244"/>
      <c r="M31" s="244"/>
      <c r="N31" s="244"/>
      <c r="O31" s="244"/>
      <c r="P31" s="244"/>
      <c r="Q31" s="244"/>
      <c r="R31" s="706"/>
    </row>
    <row r="32" spans="1:18" x14ac:dyDescent="0.3">
      <c r="A32" s="244"/>
      <c r="B32" s="244"/>
      <c r="C32" s="244"/>
      <c r="D32" s="244"/>
      <c r="E32" s="244"/>
      <c r="F32" s="244"/>
      <c r="G32" s="244"/>
      <c r="H32" s="244"/>
      <c r="I32" s="244"/>
      <c r="J32" s="244"/>
      <c r="K32" s="244"/>
      <c r="L32" s="244"/>
      <c r="M32" s="244"/>
      <c r="N32" s="244"/>
      <c r="O32" s="244"/>
      <c r="P32" s="244"/>
      <c r="Q32" s="244"/>
      <c r="R32" s="706"/>
    </row>
    <row r="33" spans="1:18" x14ac:dyDescent="0.3">
      <c r="A33" s="244"/>
      <c r="B33" s="244"/>
      <c r="C33" s="244"/>
      <c r="D33" s="244"/>
      <c r="E33" s="244"/>
      <c r="F33" s="244"/>
      <c r="G33" s="244"/>
      <c r="H33" s="244"/>
      <c r="I33" s="244"/>
      <c r="J33" s="244"/>
      <c r="K33" s="244"/>
      <c r="L33" s="244"/>
      <c r="M33" s="244"/>
      <c r="N33" s="244"/>
      <c r="O33" s="244"/>
      <c r="P33" s="244"/>
      <c r="Q33" s="244"/>
      <c r="R33" s="706"/>
    </row>
    <row r="34" spans="1:18" x14ac:dyDescent="0.3">
      <c r="A34" s="244"/>
      <c r="B34" s="244"/>
      <c r="C34" s="244"/>
      <c r="D34" s="244"/>
      <c r="E34" s="244"/>
      <c r="F34" s="244"/>
      <c r="G34" s="244"/>
      <c r="H34" s="244"/>
      <c r="I34" s="244"/>
      <c r="J34" s="244"/>
      <c r="K34" s="244"/>
      <c r="L34" s="244"/>
      <c r="M34" s="244"/>
      <c r="N34" s="244"/>
      <c r="O34" s="244"/>
      <c r="P34" s="244"/>
      <c r="Q34" s="244"/>
      <c r="R34" s="706"/>
    </row>
    <row r="35" spans="1:18" x14ac:dyDescent="0.3">
      <c r="A35" s="244"/>
      <c r="B35" s="244"/>
      <c r="C35" s="244"/>
      <c r="D35" s="244"/>
      <c r="E35" s="244"/>
      <c r="F35" s="244"/>
      <c r="G35" s="244"/>
      <c r="H35" s="244"/>
      <c r="I35" s="244"/>
      <c r="J35" s="244"/>
      <c r="K35" s="244"/>
      <c r="L35" s="244"/>
      <c r="M35" s="244"/>
      <c r="N35" s="244"/>
      <c r="O35" s="244"/>
      <c r="P35" s="244"/>
      <c r="Q35" s="244"/>
      <c r="R35" s="706"/>
    </row>
    <row r="36" spans="1:18" x14ac:dyDescent="0.3">
      <c r="A36" s="244"/>
      <c r="B36" s="244"/>
      <c r="C36" s="244"/>
      <c r="D36" s="244"/>
      <c r="E36" s="244"/>
      <c r="F36" s="244"/>
      <c r="G36" s="244"/>
      <c r="H36" s="244"/>
      <c r="I36" s="244"/>
      <c r="J36" s="244"/>
      <c r="K36" s="244"/>
      <c r="L36" s="244"/>
      <c r="M36" s="244"/>
      <c r="N36" s="244"/>
      <c r="O36" s="244"/>
      <c r="P36" s="244"/>
      <c r="Q36" s="244"/>
      <c r="R36" s="706"/>
    </row>
    <row r="37" spans="1:18" x14ac:dyDescent="0.3">
      <c r="A37" s="244"/>
      <c r="B37" s="244"/>
      <c r="C37" s="244"/>
      <c r="D37" s="244"/>
      <c r="E37" s="244"/>
      <c r="F37" s="244"/>
      <c r="G37" s="244"/>
      <c r="H37" s="244"/>
      <c r="I37" s="244"/>
      <c r="J37" s="244"/>
      <c r="K37" s="244"/>
      <c r="L37" s="244"/>
      <c r="M37" s="244"/>
      <c r="N37" s="244"/>
      <c r="O37" s="244"/>
      <c r="P37" s="244"/>
      <c r="Q37" s="244"/>
      <c r="R37" s="706"/>
    </row>
    <row r="38" spans="1:18" x14ac:dyDescent="0.3">
      <c r="A38" s="244"/>
      <c r="B38" s="244"/>
      <c r="C38" s="244"/>
      <c r="D38" s="244"/>
      <c r="E38" s="244"/>
      <c r="F38" s="244"/>
      <c r="G38" s="244"/>
      <c r="H38" s="244"/>
      <c r="I38" s="244"/>
      <c r="J38" s="244"/>
      <c r="K38" s="244"/>
      <c r="L38" s="244"/>
      <c r="M38" s="244"/>
      <c r="N38" s="244"/>
      <c r="O38" s="244"/>
      <c r="P38" s="244"/>
      <c r="Q38" s="244"/>
      <c r="R38" s="706"/>
    </row>
    <row r="39" spans="1:18" x14ac:dyDescent="0.3">
      <c r="A39" s="244"/>
      <c r="B39" s="244"/>
      <c r="C39" s="244"/>
      <c r="D39" s="244"/>
      <c r="E39" s="244"/>
      <c r="F39" s="244"/>
      <c r="G39" s="244"/>
      <c r="H39" s="244"/>
      <c r="I39" s="244"/>
      <c r="J39" s="244"/>
      <c r="K39" s="244"/>
      <c r="L39" s="244"/>
      <c r="M39" s="244"/>
      <c r="N39" s="244"/>
      <c r="O39" s="244"/>
      <c r="P39" s="244"/>
      <c r="Q39" s="244"/>
      <c r="R39" s="706"/>
    </row>
    <row r="40" spans="1:18" x14ac:dyDescent="0.3">
      <c r="A40" s="244"/>
      <c r="B40" s="244"/>
      <c r="C40" s="244"/>
      <c r="D40" s="244"/>
      <c r="E40" s="244"/>
      <c r="F40" s="244"/>
      <c r="G40" s="244"/>
      <c r="H40" s="244"/>
      <c r="I40" s="244"/>
      <c r="J40" s="244"/>
      <c r="K40" s="244"/>
      <c r="L40" s="244"/>
      <c r="M40" s="244"/>
      <c r="N40" s="244"/>
      <c r="O40" s="244"/>
      <c r="P40" s="244"/>
      <c r="Q40" s="244"/>
      <c r="R40" s="706"/>
    </row>
    <row r="41" spans="1:18" x14ac:dyDescent="0.3">
      <c r="A41" s="244"/>
      <c r="B41" s="244"/>
      <c r="C41" s="244"/>
      <c r="D41" s="244"/>
      <c r="E41" s="244"/>
      <c r="F41" s="244"/>
      <c r="G41" s="244"/>
      <c r="H41" s="244"/>
      <c r="I41" s="244"/>
      <c r="J41" s="244"/>
      <c r="K41" s="244"/>
      <c r="L41" s="244"/>
      <c r="M41" s="244"/>
      <c r="N41" s="244"/>
      <c r="O41" s="244"/>
      <c r="P41" s="244"/>
      <c r="Q41" s="244"/>
      <c r="R41" s="706"/>
    </row>
    <row r="42" spans="1:18" x14ac:dyDescent="0.3">
      <c r="A42" s="244"/>
      <c r="B42" s="244"/>
      <c r="C42" s="244"/>
      <c r="D42" s="244"/>
      <c r="E42" s="244"/>
      <c r="F42" s="244"/>
      <c r="G42" s="244"/>
      <c r="H42" s="244"/>
      <c r="I42" s="244"/>
      <c r="J42" s="244"/>
      <c r="K42" s="244"/>
      <c r="L42" s="244"/>
      <c r="M42" s="244"/>
      <c r="N42" s="244"/>
      <c r="O42" s="244"/>
      <c r="P42" s="244"/>
      <c r="Q42" s="244"/>
      <c r="R42" s="706"/>
    </row>
    <row r="43" spans="1:18" x14ac:dyDescent="0.3">
      <c r="A43" s="244"/>
      <c r="B43" s="244"/>
      <c r="C43" s="244"/>
      <c r="D43" s="244"/>
      <c r="E43" s="244"/>
      <c r="F43" s="244"/>
      <c r="G43" s="244"/>
      <c r="H43" s="244"/>
      <c r="I43" s="244"/>
      <c r="J43" s="244"/>
      <c r="K43" s="244"/>
      <c r="L43" s="244"/>
      <c r="M43" s="244"/>
      <c r="N43" s="244"/>
      <c r="O43" s="244"/>
      <c r="P43" s="244"/>
      <c r="Q43" s="244"/>
      <c r="R43" s="706"/>
    </row>
    <row r="44" spans="1:18" x14ac:dyDescent="0.3">
      <c r="A44" s="244"/>
      <c r="B44" s="244"/>
      <c r="C44" s="244"/>
      <c r="D44" s="244"/>
      <c r="E44" s="244"/>
      <c r="F44" s="244"/>
      <c r="G44" s="244"/>
      <c r="H44" s="244"/>
      <c r="I44" s="244"/>
      <c r="J44" s="244"/>
      <c r="K44" s="244"/>
      <c r="L44" s="244"/>
      <c r="M44" s="244"/>
      <c r="N44" s="244"/>
      <c r="O44" s="244"/>
      <c r="P44" s="244"/>
      <c r="Q44" s="244"/>
      <c r="R44" s="706"/>
    </row>
    <row r="45" spans="1:18" x14ac:dyDescent="0.3">
      <c r="A45" s="244"/>
      <c r="B45" s="244"/>
      <c r="C45" s="244"/>
      <c r="D45" s="244"/>
      <c r="E45" s="244"/>
      <c r="F45" s="244"/>
      <c r="G45" s="244"/>
      <c r="H45" s="244"/>
      <c r="I45" s="244"/>
      <c r="J45" s="244"/>
      <c r="K45" s="244"/>
      <c r="L45" s="244"/>
      <c r="M45" s="244"/>
      <c r="N45" s="244"/>
      <c r="O45" s="244"/>
      <c r="P45" s="244"/>
      <c r="Q45" s="244"/>
      <c r="R45" s="706"/>
    </row>
    <row r="46" spans="1:18" x14ac:dyDescent="0.3">
      <c r="A46" s="244"/>
      <c r="B46" s="244"/>
      <c r="C46" s="244"/>
      <c r="D46" s="244"/>
      <c r="E46" s="244"/>
      <c r="F46" s="244"/>
      <c r="G46" s="244"/>
      <c r="H46" s="244"/>
      <c r="I46" s="244"/>
      <c r="J46" s="244"/>
      <c r="K46" s="244"/>
      <c r="L46" s="244"/>
      <c r="M46" s="244"/>
      <c r="N46" s="244"/>
      <c r="O46" s="244"/>
      <c r="P46" s="244"/>
      <c r="Q46" s="244"/>
      <c r="R46" s="706"/>
    </row>
    <row r="47" spans="1:18" x14ac:dyDescent="0.3">
      <c r="A47" s="244"/>
      <c r="B47" s="244"/>
      <c r="C47" s="244"/>
      <c r="D47" s="244"/>
      <c r="E47" s="244"/>
      <c r="F47" s="244"/>
      <c r="G47" s="244"/>
      <c r="H47" s="244"/>
      <c r="I47" s="244"/>
      <c r="J47" s="244"/>
      <c r="K47" s="244"/>
      <c r="L47" s="244"/>
      <c r="M47" s="244"/>
      <c r="N47" s="244"/>
      <c r="O47" s="244"/>
      <c r="P47" s="244"/>
      <c r="Q47" s="244"/>
      <c r="R47" s="706"/>
    </row>
    <row r="48" spans="1:18" x14ac:dyDescent="0.3">
      <c r="A48" s="244"/>
      <c r="B48" s="244"/>
      <c r="C48" s="244"/>
      <c r="D48" s="244"/>
      <c r="E48" s="244"/>
      <c r="F48" s="244"/>
      <c r="G48" s="244"/>
      <c r="H48" s="244"/>
      <c r="I48" s="244"/>
      <c r="J48" s="244"/>
      <c r="K48" s="244"/>
      <c r="L48" s="244"/>
      <c r="M48" s="244"/>
      <c r="N48" s="244"/>
      <c r="O48" s="244"/>
      <c r="P48" s="244"/>
      <c r="Q48" s="244"/>
      <c r="R48" s="706"/>
    </row>
    <row r="49" spans="1:18" x14ac:dyDescent="0.3">
      <c r="A49" s="244"/>
      <c r="B49" s="244"/>
      <c r="C49" s="244"/>
      <c r="D49" s="244"/>
      <c r="E49" s="244"/>
      <c r="F49" s="244"/>
      <c r="G49" s="244"/>
      <c r="H49" s="244"/>
      <c r="I49" s="244"/>
      <c r="J49" s="244"/>
      <c r="K49" s="244"/>
      <c r="L49" s="244"/>
      <c r="M49" s="244"/>
      <c r="N49" s="244"/>
      <c r="O49" s="244"/>
      <c r="P49" s="244"/>
      <c r="Q49" s="244"/>
      <c r="R49" s="706"/>
    </row>
    <row r="50" spans="1:18" x14ac:dyDescent="0.3">
      <c r="A50" s="244"/>
      <c r="B50" s="244"/>
      <c r="C50" s="244"/>
      <c r="D50" s="244"/>
      <c r="E50" s="244"/>
      <c r="F50" s="244"/>
      <c r="G50" s="244"/>
      <c r="H50" s="244"/>
      <c r="I50" s="244"/>
      <c r="J50" s="244"/>
      <c r="K50" s="244"/>
      <c r="L50" s="244"/>
      <c r="M50" s="244"/>
      <c r="N50" s="244"/>
      <c r="O50" s="244"/>
      <c r="P50" s="244"/>
      <c r="Q50" s="244"/>
      <c r="R50" s="706"/>
    </row>
    <row r="51" spans="1:18" x14ac:dyDescent="0.3">
      <c r="A51" s="244"/>
      <c r="B51" s="244"/>
      <c r="C51" s="244"/>
      <c r="D51" s="244"/>
      <c r="E51" s="244"/>
      <c r="F51" s="244"/>
      <c r="G51" s="244"/>
      <c r="H51" s="244"/>
      <c r="I51" s="244"/>
      <c r="J51" s="244"/>
      <c r="K51" s="244"/>
      <c r="L51" s="244"/>
      <c r="M51" s="244"/>
      <c r="N51" s="244"/>
      <c r="O51" s="244"/>
      <c r="P51" s="244"/>
      <c r="Q51" s="244"/>
      <c r="R51" s="706"/>
    </row>
    <row r="52" spans="1:18" x14ac:dyDescent="0.3">
      <c r="A52" s="244"/>
      <c r="B52" s="244"/>
      <c r="C52" s="244"/>
      <c r="D52" s="244"/>
      <c r="E52" s="244"/>
      <c r="F52" s="244"/>
      <c r="G52" s="244"/>
      <c r="H52" s="244"/>
      <c r="I52" s="244"/>
      <c r="J52" s="244"/>
      <c r="K52" s="244"/>
      <c r="L52" s="244"/>
      <c r="M52" s="244"/>
      <c r="N52" s="244"/>
      <c r="O52" s="244"/>
      <c r="P52" s="244"/>
      <c r="Q52" s="244"/>
      <c r="R52" s="706"/>
    </row>
    <row r="53" spans="1:18" x14ac:dyDescent="0.3">
      <c r="A53" s="244"/>
      <c r="B53" s="244"/>
      <c r="C53" s="244"/>
      <c r="D53" s="244"/>
      <c r="E53" s="244"/>
      <c r="F53" s="244"/>
      <c r="G53" s="244"/>
      <c r="H53" s="244"/>
      <c r="I53" s="244"/>
      <c r="J53" s="244"/>
      <c r="K53" s="244"/>
      <c r="L53" s="244"/>
      <c r="M53" s="244"/>
      <c r="N53" s="244"/>
      <c r="O53" s="244"/>
      <c r="P53" s="244"/>
      <c r="Q53" s="244"/>
      <c r="R53" s="706"/>
    </row>
    <row r="54" spans="1:18" x14ac:dyDescent="0.3">
      <c r="A54" s="244"/>
      <c r="B54" s="244"/>
      <c r="C54" s="244"/>
      <c r="D54" s="244"/>
      <c r="E54" s="244"/>
      <c r="F54" s="244"/>
      <c r="G54" s="244"/>
      <c r="H54" s="244"/>
      <c r="I54" s="244"/>
      <c r="J54" s="244"/>
      <c r="K54" s="244"/>
      <c r="L54" s="244"/>
      <c r="M54" s="244"/>
      <c r="N54" s="244"/>
      <c r="O54" s="244"/>
      <c r="P54" s="244"/>
      <c r="Q54" s="244"/>
      <c r="R54" s="706"/>
    </row>
    <row r="55" spans="1:18" x14ac:dyDescent="0.3">
      <c r="A55" s="244"/>
      <c r="B55" s="244"/>
      <c r="C55" s="244"/>
      <c r="D55" s="244"/>
      <c r="E55" s="244"/>
      <c r="F55" s="244"/>
      <c r="G55" s="244"/>
      <c r="H55" s="244"/>
      <c r="I55" s="244"/>
      <c r="J55" s="244"/>
      <c r="K55" s="244"/>
      <c r="L55" s="244"/>
      <c r="M55" s="244"/>
      <c r="N55" s="244"/>
      <c r="O55" s="244"/>
      <c r="P55" s="244"/>
      <c r="Q55" s="244"/>
      <c r="R55" s="706"/>
    </row>
    <row r="56" spans="1:18" x14ac:dyDescent="0.3">
      <c r="A56" s="244"/>
      <c r="B56" s="244"/>
      <c r="C56" s="244"/>
      <c r="D56" s="244"/>
      <c r="E56" s="244"/>
      <c r="F56" s="244"/>
      <c r="G56" s="244"/>
      <c r="H56" s="244"/>
      <c r="I56" s="244"/>
      <c r="J56" s="244"/>
      <c r="K56" s="244"/>
      <c r="L56" s="244"/>
      <c r="M56" s="244"/>
      <c r="N56" s="244"/>
      <c r="O56" s="244"/>
      <c r="P56" s="244"/>
      <c r="Q56" s="244"/>
      <c r="R56" s="706"/>
    </row>
    <row r="57" spans="1:18" x14ac:dyDescent="0.3">
      <c r="A57" s="244"/>
      <c r="B57" s="244"/>
      <c r="C57" s="244"/>
      <c r="D57" s="244"/>
      <c r="E57" s="244"/>
      <c r="F57" s="244"/>
      <c r="G57" s="244"/>
      <c r="H57" s="244"/>
      <c r="I57" s="244"/>
      <c r="J57" s="244"/>
      <c r="K57" s="244"/>
      <c r="L57" s="244"/>
      <c r="M57" s="244"/>
      <c r="N57" s="244"/>
      <c r="O57" s="244"/>
      <c r="P57" s="244"/>
      <c r="Q57" s="244"/>
      <c r="R57" s="706"/>
    </row>
    <row r="58" spans="1:18" x14ac:dyDescent="0.3">
      <c r="A58" s="244"/>
      <c r="B58" s="244"/>
      <c r="C58" s="244"/>
      <c r="D58" s="244"/>
      <c r="E58" s="244"/>
      <c r="F58" s="244"/>
      <c r="G58" s="244"/>
      <c r="H58" s="244"/>
      <c r="I58" s="244"/>
      <c r="J58" s="244"/>
      <c r="K58" s="244"/>
      <c r="L58" s="244"/>
      <c r="M58" s="244"/>
      <c r="N58" s="244"/>
      <c r="O58" s="244"/>
      <c r="P58" s="244"/>
      <c r="Q58" s="244"/>
      <c r="R58" s="706"/>
    </row>
    <row r="59" spans="1:18" x14ac:dyDescent="0.3">
      <c r="A59" s="244"/>
      <c r="B59" s="244"/>
      <c r="C59" s="244"/>
      <c r="D59" s="244"/>
      <c r="E59" s="244"/>
      <c r="F59" s="244"/>
      <c r="G59" s="244"/>
      <c r="H59" s="244"/>
      <c r="I59" s="244"/>
      <c r="J59" s="244"/>
      <c r="K59" s="244"/>
      <c r="L59" s="244"/>
      <c r="M59" s="244"/>
      <c r="N59" s="244"/>
      <c r="O59" s="244"/>
      <c r="P59" s="244"/>
      <c r="Q59" s="244"/>
      <c r="R59" s="706"/>
    </row>
    <row r="60" spans="1:18" x14ac:dyDescent="0.3">
      <c r="A60" s="244"/>
      <c r="B60" s="244"/>
      <c r="C60" s="244"/>
      <c r="D60" s="244"/>
      <c r="E60" s="244"/>
      <c r="F60" s="244"/>
      <c r="G60" s="244"/>
      <c r="H60" s="244"/>
      <c r="I60" s="244"/>
      <c r="J60" s="244"/>
      <c r="K60" s="244"/>
      <c r="L60" s="244"/>
      <c r="M60" s="244"/>
      <c r="N60" s="244"/>
      <c r="O60" s="244"/>
      <c r="P60" s="244"/>
      <c r="Q60" s="244"/>
      <c r="R60" s="706"/>
    </row>
    <row r="61" spans="1:18" x14ac:dyDescent="0.3">
      <c r="A61" s="244"/>
      <c r="B61" s="244"/>
      <c r="C61" s="244"/>
      <c r="D61" s="244"/>
      <c r="E61" s="244"/>
      <c r="F61" s="244"/>
      <c r="G61" s="244"/>
      <c r="H61" s="244"/>
      <c r="I61" s="244"/>
      <c r="J61" s="244"/>
      <c r="K61" s="244"/>
      <c r="L61" s="244"/>
      <c r="M61" s="244"/>
      <c r="N61" s="244"/>
      <c r="O61" s="244"/>
      <c r="P61" s="244"/>
      <c r="Q61" s="244"/>
      <c r="R61" s="703"/>
    </row>
    <row r="62" spans="1:18" x14ac:dyDescent="0.3">
      <c r="A62" s="244"/>
      <c r="B62" s="244"/>
      <c r="C62" s="244"/>
      <c r="D62" s="244"/>
      <c r="E62" s="244"/>
      <c r="F62" s="244"/>
      <c r="G62" s="244"/>
      <c r="H62" s="244"/>
      <c r="I62" s="244"/>
      <c r="J62" s="244"/>
      <c r="K62" s="244"/>
      <c r="L62" s="244"/>
      <c r="M62" s="244"/>
      <c r="N62" s="244"/>
      <c r="O62" s="244"/>
      <c r="P62" s="244"/>
      <c r="Q62" s="244"/>
      <c r="R62" s="703"/>
    </row>
    <row r="63" spans="1:18" x14ac:dyDescent="0.3">
      <c r="A63" s="244"/>
      <c r="B63" s="244"/>
      <c r="C63" s="244"/>
      <c r="D63" s="244"/>
      <c r="E63" s="244"/>
      <c r="F63" s="244"/>
      <c r="G63" s="244"/>
      <c r="H63" s="244"/>
      <c r="I63" s="244"/>
      <c r="J63" s="244"/>
      <c r="K63" s="244"/>
      <c r="L63" s="244"/>
      <c r="M63" s="244"/>
      <c r="N63" s="244"/>
      <c r="O63" s="244"/>
      <c r="P63" s="244"/>
      <c r="Q63" s="244"/>
      <c r="R63" s="703"/>
    </row>
    <row r="64" spans="1:18" x14ac:dyDescent="0.3">
      <c r="A64" s="244"/>
      <c r="B64" s="244"/>
      <c r="C64" s="244"/>
      <c r="D64" s="244"/>
      <c r="E64" s="244"/>
      <c r="F64" s="244"/>
      <c r="G64" s="244"/>
      <c r="H64" s="244"/>
      <c r="I64" s="244"/>
      <c r="J64" s="244"/>
      <c r="K64" s="244"/>
      <c r="L64" s="244"/>
      <c r="M64" s="244"/>
      <c r="N64" s="244"/>
      <c r="O64" s="244"/>
      <c r="P64" s="244"/>
      <c r="Q64" s="244"/>
      <c r="R64" s="703"/>
    </row>
    <row r="65" spans="1:18" x14ac:dyDescent="0.3">
      <c r="A65" s="244"/>
      <c r="B65" s="244"/>
      <c r="C65" s="244"/>
      <c r="D65" s="244"/>
      <c r="E65" s="244"/>
      <c r="F65" s="244"/>
      <c r="G65" s="244"/>
      <c r="H65" s="244"/>
      <c r="I65" s="244"/>
      <c r="J65" s="244"/>
      <c r="K65" s="244"/>
      <c r="L65" s="244"/>
      <c r="M65" s="244"/>
      <c r="N65" s="244"/>
      <c r="O65" s="244"/>
      <c r="P65" s="244"/>
      <c r="Q65" s="244"/>
      <c r="R65" s="703"/>
    </row>
    <row r="66" spans="1:18" x14ac:dyDescent="0.3">
      <c r="A66" s="244"/>
      <c r="B66" s="244"/>
      <c r="C66" s="244"/>
      <c r="D66" s="244"/>
      <c r="E66" s="244"/>
      <c r="F66" s="244"/>
      <c r="G66" s="244"/>
      <c r="H66" s="244"/>
      <c r="I66" s="244"/>
      <c r="J66" s="244"/>
      <c r="K66" s="244"/>
      <c r="L66" s="244"/>
      <c r="M66" s="244"/>
      <c r="N66" s="244"/>
      <c r="O66" s="244"/>
      <c r="P66" s="244"/>
      <c r="Q66" s="244"/>
      <c r="R66" s="703"/>
    </row>
    <row r="67" spans="1:18" x14ac:dyDescent="0.3">
      <c r="A67" s="244"/>
      <c r="B67" s="244"/>
      <c r="C67" s="244"/>
      <c r="D67" s="244"/>
      <c r="E67" s="244"/>
      <c r="F67" s="244"/>
      <c r="G67" s="244"/>
      <c r="H67" s="244"/>
      <c r="I67" s="244"/>
      <c r="J67" s="244"/>
      <c r="K67" s="244"/>
      <c r="L67" s="244"/>
      <c r="M67" s="244"/>
      <c r="N67" s="244"/>
      <c r="O67" s="244"/>
      <c r="P67" s="244"/>
      <c r="Q67" s="244"/>
      <c r="R67" s="703"/>
    </row>
    <row r="68" spans="1:18" x14ac:dyDescent="0.3">
      <c r="A68" s="244"/>
      <c r="B68" s="244"/>
      <c r="C68" s="244"/>
      <c r="D68" s="244"/>
      <c r="E68" s="244"/>
      <c r="F68" s="244"/>
      <c r="G68" s="244"/>
      <c r="H68" s="244"/>
      <c r="I68" s="244"/>
      <c r="J68" s="244"/>
      <c r="K68" s="244"/>
      <c r="L68" s="244"/>
      <c r="M68" s="244"/>
      <c r="N68" s="244"/>
      <c r="O68" s="244"/>
      <c r="P68" s="244"/>
      <c r="Q68" s="244"/>
      <c r="R68" s="703"/>
    </row>
    <row r="69" spans="1:18" x14ac:dyDescent="0.3">
      <c r="A69" s="244"/>
      <c r="B69" s="244"/>
      <c r="C69" s="244"/>
      <c r="D69" s="244"/>
      <c r="E69" s="244"/>
      <c r="F69" s="244"/>
      <c r="G69" s="244"/>
      <c r="H69" s="244"/>
      <c r="I69" s="244"/>
      <c r="J69" s="244"/>
      <c r="K69" s="244"/>
      <c r="L69" s="244"/>
      <c r="M69" s="244"/>
      <c r="N69" s="244"/>
      <c r="O69" s="244"/>
      <c r="P69" s="244"/>
      <c r="Q69" s="244"/>
      <c r="R69" s="703"/>
    </row>
    <row r="70" spans="1:18" x14ac:dyDescent="0.3">
      <c r="A70" s="244"/>
      <c r="B70" s="244"/>
      <c r="C70" s="244"/>
      <c r="D70" s="244"/>
      <c r="E70" s="244"/>
      <c r="F70" s="244"/>
      <c r="G70" s="244"/>
      <c r="H70" s="244"/>
      <c r="I70" s="244"/>
      <c r="J70" s="244"/>
      <c r="K70" s="244"/>
      <c r="L70" s="244"/>
      <c r="M70" s="244"/>
      <c r="N70" s="244"/>
      <c r="O70" s="244"/>
      <c r="P70" s="244"/>
      <c r="Q70" s="244"/>
      <c r="R70" s="705"/>
    </row>
    <row r="71" spans="1:18" x14ac:dyDescent="0.3">
      <c r="A71" s="244"/>
      <c r="B71" s="244"/>
      <c r="C71" s="244"/>
      <c r="D71" s="244"/>
      <c r="E71" s="244"/>
      <c r="F71" s="244"/>
      <c r="G71" s="244"/>
      <c r="H71" s="244"/>
      <c r="I71" s="244"/>
      <c r="J71" s="244"/>
      <c r="K71" s="244"/>
      <c r="L71" s="244"/>
      <c r="M71" s="244"/>
      <c r="N71" s="244"/>
      <c r="O71" s="244"/>
      <c r="P71" s="244"/>
      <c r="Q71" s="244"/>
      <c r="R71" s="703"/>
    </row>
    <row r="72" spans="1:18" x14ac:dyDescent="0.3">
      <c r="A72" s="244"/>
      <c r="B72" s="244"/>
      <c r="C72" s="244"/>
      <c r="D72" s="244"/>
      <c r="E72" s="244"/>
      <c r="F72" s="244"/>
      <c r="G72" s="244"/>
      <c r="H72" s="244"/>
      <c r="I72" s="244"/>
      <c r="J72" s="244"/>
      <c r="K72" s="244"/>
      <c r="L72" s="244"/>
      <c r="M72" s="244"/>
      <c r="N72" s="244"/>
      <c r="O72" s="244"/>
      <c r="P72" s="244"/>
      <c r="Q72" s="244"/>
      <c r="R72" s="703"/>
    </row>
    <row r="73" spans="1:18" x14ac:dyDescent="0.3">
      <c r="A73" s="244"/>
      <c r="B73" s="244"/>
      <c r="C73" s="244"/>
      <c r="D73" s="244"/>
      <c r="E73" s="244"/>
      <c r="F73" s="244"/>
      <c r="G73" s="244"/>
      <c r="H73" s="244"/>
      <c r="I73" s="244"/>
      <c r="J73" s="244"/>
      <c r="K73" s="244"/>
      <c r="L73" s="244"/>
      <c r="M73" s="244"/>
      <c r="N73" s="244"/>
      <c r="O73" s="244"/>
      <c r="P73" s="244"/>
      <c r="Q73" s="244"/>
      <c r="R73" s="703"/>
    </row>
    <row r="74" spans="1:18" x14ac:dyDescent="0.3">
      <c r="A74" s="244"/>
      <c r="B74" s="244"/>
      <c r="C74" s="244"/>
      <c r="D74" s="244"/>
      <c r="E74" s="244"/>
      <c r="F74" s="244"/>
      <c r="G74" s="244"/>
      <c r="H74" s="244"/>
      <c r="I74" s="244"/>
      <c r="J74" s="244"/>
      <c r="K74" s="244"/>
      <c r="L74" s="244"/>
      <c r="M74" s="244"/>
      <c r="N74" s="244"/>
      <c r="O74" s="244"/>
      <c r="P74" s="244"/>
      <c r="Q74" s="244"/>
      <c r="R74" s="703"/>
    </row>
    <row r="75" spans="1:18" x14ac:dyDescent="0.3">
      <c r="A75" s="244"/>
      <c r="B75" s="244"/>
      <c r="C75" s="244"/>
      <c r="D75" s="244"/>
      <c r="E75" s="244"/>
      <c r="F75" s="244"/>
      <c r="G75" s="244"/>
      <c r="H75" s="244"/>
      <c r="I75" s="244"/>
      <c r="J75" s="244"/>
      <c r="K75" s="244"/>
      <c r="L75" s="244"/>
      <c r="M75" s="244"/>
      <c r="N75" s="244"/>
      <c r="O75" s="244"/>
      <c r="P75" s="244"/>
      <c r="Q75" s="244"/>
      <c r="R75" s="703"/>
    </row>
    <row r="76" spans="1:18" ht="15.5" x14ac:dyDescent="0.35">
      <c r="A76" s="244"/>
      <c r="B76" s="244"/>
      <c r="C76" s="244"/>
      <c r="D76" s="244"/>
      <c r="E76" s="244"/>
      <c r="F76" s="244"/>
      <c r="G76" s="244"/>
      <c r="H76" s="244"/>
      <c r="I76" s="244"/>
      <c r="J76" s="244"/>
      <c r="K76" s="244"/>
      <c r="L76" s="244"/>
      <c r="M76" s="244"/>
      <c r="N76" s="244"/>
      <c r="O76" s="244"/>
      <c r="P76" s="244"/>
      <c r="Q76" s="244"/>
      <c r="R76" s="704"/>
    </row>
    <row r="77" spans="1:18" x14ac:dyDescent="0.3">
      <c r="A77" s="244"/>
      <c r="B77" s="244"/>
      <c r="C77" s="244"/>
      <c r="D77" s="244"/>
      <c r="E77" s="244"/>
      <c r="F77" s="244"/>
      <c r="G77" s="244"/>
      <c r="H77" s="244"/>
      <c r="I77" s="244"/>
      <c r="J77" s="244"/>
      <c r="K77" s="244"/>
      <c r="L77" s="244"/>
      <c r="M77" s="244"/>
      <c r="N77" s="244"/>
      <c r="O77" s="244"/>
      <c r="P77" s="244"/>
      <c r="Q77" s="244"/>
      <c r="R77" s="703"/>
    </row>
    <row r="78" spans="1:18" x14ac:dyDescent="0.3">
      <c r="A78" s="244"/>
      <c r="B78" s="244"/>
      <c r="C78" s="244"/>
      <c r="D78" s="244"/>
      <c r="E78" s="244"/>
      <c r="F78" s="244"/>
      <c r="G78" s="244"/>
      <c r="H78" s="244"/>
      <c r="I78" s="244"/>
      <c r="J78" s="244"/>
      <c r="K78" s="244"/>
      <c r="L78" s="244"/>
      <c r="M78" s="244"/>
      <c r="N78" s="244"/>
      <c r="O78" s="244"/>
      <c r="P78" s="244"/>
      <c r="Q78" s="244"/>
      <c r="R78" s="703"/>
    </row>
    <row r="79" spans="1:18" x14ac:dyDescent="0.3">
      <c r="A79" s="244"/>
      <c r="B79" s="244"/>
      <c r="C79" s="244"/>
      <c r="D79" s="244"/>
      <c r="E79" s="244"/>
      <c r="F79" s="244"/>
      <c r="G79" s="244"/>
      <c r="H79" s="244"/>
      <c r="I79" s="244"/>
      <c r="J79" s="244"/>
      <c r="K79" s="244"/>
      <c r="L79" s="244"/>
      <c r="M79" s="244"/>
      <c r="N79" s="244"/>
      <c r="O79" s="244"/>
      <c r="P79" s="244"/>
      <c r="Q79" s="244"/>
      <c r="R79" s="703"/>
    </row>
    <row r="80" spans="1:18" x14ac:dyDescent="0.3">
      <c r="A80" s="244"/>
      <c r="B80" s="244"/>
      <c r="C80" s="244"/>
      <c r="D80" s="244"/>
      <c r="E80" s="244"/>
      <c r="F80" s="244"/>
      <c r="G80" s="244"/>
      <c r="H80" s="244"/>
      <c r="I80" s="244"/>
      <c r="J80" s="244"/>
      <c r="K80" s="244"/>
      <c r="L80" s="244"/>
      <c r="M80" s="244"/>
      <c r="N80" s="244"/>
      <c r="O80" s="244"/>
      <c r="P80" s="244"/>
      <c r="Q80" s="244"/>
      <c r="R80" s="703"/>
    </row>
    <row r="81" spans="1:18" x14ac:dyDescent="0.3">
      <c r="A81" s="244"/>
      <c r="B81" s="244"/>
      <c r="C81" s="244"/>
      <c r="D81" s="244"/>
      <c r="E81" s="244"/>
      <c r="F81" s="244"/>
      <c r="G81" s="244"/>
      <c r="H81" s="244"/>
      <c r="I81" s="244"/>
      <c r="J81" s="244"/>
      <c r="K81" s="244"/>
      <c r="L81" s="244"/>
      <c r="M81" s="244"/>
      <c r="N81" s="244"/>
      <c r="O81" s="244"/>
      <c r="P81" s="244"/>
      <c r="Q81" s="244"/>
      <c r="R81" s="703"/>
    </row>
    <row r="82" spans="1:18" x14ac:dyDescent="0.3">
      <c r="R82" s="703"/>
    </row>
    <row r="83" spans="1:18" x14ac:dyDescent="0.3">
      <c r="R83" s="703"/>
    </row>
    <row r="84" spans="1:18" x14ac:dyDescent="0.3">
      <c r="R84" s="703"/>
    </row>
    <row r="85" spans="1:18" x14ac:dyDescent="0.3">
      <c r="R85" s="703"/>
    </row>
    <row r="86" spans="1:18" x14ac:dyDescent="0.3">
      <c r="R86" s="703"/>
    </row>
    <row r="87" spans="1:18" x14ac:dyDescent="0.3">
      <c r="R87" s="703"/>
    </row>
    <row r="88" spans="1:18" x14ac:dyDescent="0.3">
      <c r="R88" s="703"/>
    </row>
    <row r="89" spans="1:18" x14ac:dyDescent="0.3">
      <c r="R89" s="703"/>
    </row>
    <row r="90" spans="1:18" x14ac:dyDescent="0.3">
      <c r="R90" s="703"/>
    </row>
    <row r="91" spans="1:18" x14ac:dyDescent="0.3">
      <c r="R91" s="703"/>
    </row>
    <row r="92" spans="1:18" x14ac:dyDescent="0.3">
      <c r="R92" s="703"/>
    </row>
    <row r="93" spans="1:18" x14ac:dyDescent="0.3">
      <c r="R93" s="703"/>
    </row>
    <row r="94" spans="1:18" x14ac:dyDescent="0.3">
      <c r="R94" s="703"/>
    </row>
    <row r="95" spans="1:18" x14ac:dyDescent="0.3">
      <c r="R95" s="703"/>
    </row>
    <row r="96" spans="1:18" x14ac:dyDescent="0.3">
      <c r="R96" s="703"/>
    </row>
    <row r="97" spans="18:18" x14ac:dyDescent="0.3">
      <c r="R97" s="703"/>
    </row>
    <row r="98" spans="18:18" x14ac:dyDescent="0.3">
      <c r="R98" s="703"/>
    </row>
    <row r="99" spans="18:18" x14ac:dyDescent="0.3">
      <c r="R99" s="703"/>
    </row>
    <row r="100" spans="18:18" x14ac:dyDescent="0.3">
      <c r="R100" s="703"/>
    </row>
    <row r="101" spans="18:18" x14ac:dyDescent="0.3">
      <c r="R101" s="703"/>
    </row>
    <row r="102" spans="18:18" x14ac:dyDescent="0.3">
      <c r="R102" s="703"/>
    </row>
    <row r="103" spans="18:18" x14ac:dyDescent="0.3">
      <c r="R103" s="703"/>
    </row>
    <row r="104" spans="18:18" x14ac:dyDescent="0.3">
      <c r="R104" s="703"/>
    </row>
    <row r="105" spans="18:18" x14ac:dyDescent="0.3">
      <c r="R105" s="703"/>
    </row>
    <row r="106" spans="18:18" x14ac:dyDescent="0.3">
      <c r="R106" s="703"/>
    </row>
    <row r="107" spans="18:18" x14ac:dyDescent="0.3">
      <c r="R107" s="703"/>
    </row>
    <row r="108" spans="18:18" x14ac:dyDescent="0.3">
      <c r="R108" s="702"/>
    </row>
    <row r="109" spans="18:18" x14ac:dyDescent="0.3">
      <c r="R109" s="702"/>
    </row>
    <row r="110" spans="18:18" x14ac:dyDescent="0.3">
      <c r="R110" s="702"/>
    </row>
    <row r="111" spans="18:18" x14ac:dyDescent="0.3">
      <c r="R111" s="702"/>
    </row>
    <row r="112" spans="18:18" x14ac:dyDescent="0.3">
      <c r="R112" s="702"/>
    </row>
    <row r="113" spans="18:18" x14ac:dyDescent="0.3">
      <c r="R113" s="702"/>
    </row>
    <row r="114" spans="18:18" x14ac:dyDescent="0.3">
      <c r="R114" s="702"/>
    </row>
    <row r="115" spans="18:18" x14ac:dyDescent="0.3">
      <c r="R115" s="702"/>
    </row>
    <row r="116" spans="18:18" x14ac:dyDescent="0.3">
      <c r="R116" s="702"/>
    </row>
    <row r="117" spans="18:18" x14ac:dyDescent="0.3">
      <c r="R117" s="702"/>
    </row>
    <row r="118" spans="18:18" x14ac:dyDescent="0.3">
      <c r="R118" s="702"/>
    </row>
    <row r="119" spans="18:18" x14ac:dyDescent="0.3">
      <c r="R119" s="702"/>
    </row>
    <row r="120" spans="18:18" x14ac:dyDescent="0.3">
      <c r="R120" s="702"/>
    </row>
    <row r="121" spans="18:18" x14ac:dyDescent="0.3">
      <c r="R121" s="702"/>
    </row>
    <row r="122" spans="18:18" x14ac:dyDescent="0.3">
      <c r="R122" s="702"/>
    </row>
    <row r="123" spans="18:18" x14ac:dyDescent="0.3">
      <c r="R123" s="702"/>
    </row>
    <row r="124" spans="18:18" x14ac:dyDescent="0.3">
      <c r="R124" s="702"/>
    </row>
    <row r="125" spans="18:18" x14ac:dyDescent="0.3">
      <c r="R125" s="702"/>
    </row>
    <row r="126" spans="18:18" x14ac:dyDescent="0.3">
      <c r="R126" s="702"/>
    </row>
    <row r="127" spans="18:18" x14ac:dyDescent="0.3">
      <c r="R127" s="702"/>
    </row>
    <row r="128" spans="18:18" x14ac:dyDescent="0.3">
      <c r="R128" s="702"/>
    </row>
    <row r="129" spans="18:18" x14ac:dyDescent="0.3">
      <c r="R129" s="702"/>
    </row>
    <row r="130" spans="18:18" x14ac:dyDescent="0.3">
      <c r="R130" s="702"/>
    </row>
    <row r="131" spans="18:18" x14ac:dyDescent="0.3">
      <c r="R131" s="702"/>
    </row>
    <row r="132" spans="18:18" x14ac:dyDescent="0.3">
      <c r="R132" s="702"/>
    </row>
    <row r="133" spans="18:18" x14ac:dyDescent="0.3">
      <c r="R133" s="702"/>
    </row>
    <row r="134" spans="18:18" x14ac:dyDescent="0.3">
      <c r="R134" s="702"/>
    </row>
    <row r="135" spans="18:18" x14ac:dyDescent="0.3">
      <c r="R135" s="702"/>
    </row>
    <row r="136" spans="18:18" x14ac:dyDescent="0.3">
      <c r="R136" s="702"/>
    </row>
    <row r="137" spans="18:18" x14ac:dyDescent="0.3">
      <c r="R137" s="702"/>
    </row>
    <row r="138" spans="18:18" x14ac:dyDescent="0.3">
      <c r="R138" s="702"/>
    </row>
    <row r="139" spans="18:18" x14ac:dyDescent="0.3">
      <c r="R139" s="702"/>
    </row>
    <row r="140" spans="18:18" x14ac:dyDescent="0.3">
      <c r="R140" s="702"/>
    </row>
    <row r="141" spans="18:18" x14ac:dyDescent="0.3">
      <c r="R141" s="702"/>
    </row>
    <row r="142" spans="18:18" x14ac:dyDescent="0.3">
      <c r="R142" s="702"/>
    </row>
    <row r="143" spans="18:18" x14ac:dyDescent="0.3">
      <c r="R143" s="702"/>
    </row>
    <row r="144" spans="18:18" x14ac:dyDescent="0.3">
      <c r="R144" s="702"/>
    </row>
    <row r="145" spans="18:18" x14ac:dyDescent="0.3">
      <c r="R145" s="702"/>
    </row>
    <row r="146" spans="18:18" x14ac:dyDescent="0.3">
      <c r="R146" s="702"/>
    </row>
    <row r="147" spans="18:18" x14ac:dyDescent="0.3">
      <c r="R147" s="702"/>
    </row>
    <row r="148" spans="18:18" x14ac:dyDescent="0.3">
      <c r="R148" s="702"/>
    </row>
    <row r="149" spans="18:18" x14ac:dyDescent="0.3">
      <c r="R149" s="702"/>
    </row>
    <row r="150" spans="18:18" x14ac:dyDescent="0.3">
      <c r="R150" s="702"/>
    </row>
    <row r="151" spans="18:18" x14ac:dyDescent="0.3">
      <c r="R151" s="702"/>
    </row>
    <row r="152" spans="18:18" x14ac:dyDescent="0.3">
      <c r="R152" s="702"/>
    </row>
    <row r="153" spans="18:18" x14ac:dyDescent="0.3">
      <c r="R153" s="702"/>
    </row>
    <row r="154" spans="18:18" x14ac:dyDescent="0.3">
      <c r="R154" s="702"/>
    </row>
    <row r="155" spans="18:18" x14ac:dyDescent="0.3">
      <c r="R155" s="702"/>
    </row>
    <row r="156" spans="18:18" x14ac:dyDescent="0.3">
      <c r="R156" s="702"/>
    </row>
    <row r="157" spans="18:18" x14ac:dyDescent="0.3">
      <c r="R157" s="702"/>
    </row>
    <row r="158" spans="18:18" x14ac:dyDescent="0.3">
      <c r="R158" s="702"/>
    </row>
    <row r="159" spans="18:18" x14ac:dyDescent="0.3">
      <c r="R159" s="702"/>
    </row>
    <row r="160" spans="18:18" x14ac:dyDescent="0.3">
      <c r="R160" s="702"/>
    </row>
    <row r="161" spans="18:18" x14ac:dyDescent="0.3">
      <c r="R161" s="702"/>
    </row>
    <row r="162" spans="18:18" x14ac:dyDescent="0.3">
      <c r="R162" s="702"/>
    </row>
    <row r="163" spans="18:18" x14ac:dyDescent="0.3">
      <c r="R163" s="702"/>
    </row>
    <row r="164" spans="18:18" x14ac:dyDescent="0.3">
      <c r="R164" s="702"/>
    </row>
    <row r="165" spans="18:18" x14ac:dyDescent="0.3">
      <c r="R165" s="702"/>
    </row>
    <row r="166" spans="18:18" x14ac:dyDescent="0.3">
      <c r="R166" s="702"/>
    </row>
    <row r="167" spans="18:18" x14ac:dyDescent="0.3">
      <c r="R167" s="702"/>
    </row>
    <row r="168" spans="18:18" x14ac:dyDescent="0.3">
      <c r="R168" s="702"/>
    </row>
    <row r="169" spans="18:18" x14ac:dyDescent="0.3">
      <c r="R169" s="702"/>
    </row>
    <row r="170" spans="18:18" x14ac:dyDescent="0.3">
      <c r="R170" s="702"/>
    </row>
    <row r="171" spans="18:18" x14ac:dyDescent="0.3">
      <c r="R171" s="702"/>
    </row>
    <row r="172" spans="18:18" x14ac:dyDescent="0.3">
      <c r="R172" s="702"/>
    </row>
    <row r="173" spans="18:18" x14ac:dyDescent="0.3">
      <c r="R173" s="702"/>
    </row>
    <row r="174" spans="18:18" x14ac:dyDescent="0.3">
      <c r="R174" s="702"/>
    </row>
    <row r="175" spans="18:18" x14ac:dyDescent="0.3">
      <c r="R175" s="702"/>
    </row>
    <row r="176" spans="18:18" x14ac:dyDescent="0.3">
      <c r="R176" s="702"/>
    </row>
    <row r="177" spans="18:18" x14ac:dyDescent="0.3">
      <c r="R177" s="702"/>
    </row>
    <row r="178" spans="18:18" x14ac:dyDescent="0.3">
      <c r="R178" s="702"/>
    </row>
    <row r="179" spans="18:18" x14ac:dyDescent="0.3">
      <c r="R179" s="702"/>
    </row>
    <row r="180" spans="18:18" x14ac:dyDescent="0.3">
      <c r="R180" s="702"/>
    </row>
    <row r="181" spans="18:18" x14ac:dyDescent="0.3">
      <c r="R181" s="702"/>
    </row>
    <row r="182" spans="18:18" x14ac:dyDescent="0.3">
      <c r="R182" s="702"/>
    </row>
    <row r="183" spans="18:18" x14ac:dyDescent="0.3">
      <c r="R183" s="702"/>
    </row>
    <row r="184" spans="18:18" x14ac:dyDescent="0.3">
      <c r="R184" s="702"/>
    </row>
    <row r="185" spans="18:18" x14ac:dyDescent="0.3">
      <c r="R185" s="702"/>
    </row>
    <row r="186" spans="18:18" x14ac:dyDescent="0.3">
      <c r="R186" s="702"/>
    </row>
    <row r="187" spans="18:18" x14ac:dyDescent="0.3">
      <c r="R187" s="702"/>
    </row>
    <row r="188" spans="18:18" x14ac:dyDescent="0.3">
      <c r="R188" s="702"/>
    </row>
    <row r="189" spans="18:18" x14ac:dyDescent="0.3">
      <c r="R189" s="702"/>
    </row>
    <row r="190" spans="18:18" x14ac:dyDescent="0.3">
      <c r="R190" s="702"/>
    </row>
    <row r="191" spans="18:18" x14ac:dyDescent="0.3">
      <c r="R191" s="702"/>
    </row>
    <row r="192" spans="18:18" x14ac:dyDescent="0.3">
      <c r="R192" s="702"/>
    </row>
    <row r="193" spans="18:18" x14ac:dyDescent="0.3">
      <c r="R193" s="702"/>
    </row>
    <row r="194" spans="18:18" x14ac:dyDescent="0.3">
      <c r="R194" s="702"/>
    </row>
    <row r="195" spans="18:18" x14ac:dyDescent="0.3">
      <c r="R195" s="702"/>
    </row>
    <row r="196" spans="18:18" x14ac:dyDescent="0.3">
      <c r="R196" s="702"/>
    </row>
    <row r="197" spans="18:18" x14ac:dyDescent="0.3">
      <c r="R197" s="702"/>
    </row>
    <row r="198" spans="18:18" x14ac:dyDescent="0.3">
      <c r="R198" s="702"/>
    </row>
    <row r="199" spans="18:18" x14ac:dyDescent="0.3">
      <c r="R199" s="702"/>
    </row>
    <row r="200" spans="18:18" x14ac:dyDescent="0.3">
      <c r="R200" s="702"/>
    </row>
    <row r="201" spans="18:18" x14ac:dyDescent="0.3">
      <c r="R201" s="702"/>
    </row>
    <row r="202" spans="18:18" x14ac:dyDescent="0.3">
      <c r="R202" s="702"/>
    </row>
    <row r="203" spans="18:18" x14ac:dyDescent="0.3">
      <c r="R203" s="702"/>
    </row>
    <row r="204" spans="18:18" x14ac:dyDescent="0.3">
      <c r="R204" s="702"/>
    </row>
    <row r="205" spans="18:18" x14ac:dyDescent="0.3">
      <c r="R205" s="702"/>
    </row>
    <row r="206" spans="18:18" x14ac:dyDescent="0.3">
      <c r="R206" s="702"/>
    </row>
    <row r="207" spans="18:18" x14ac:dyDescent="0.3">
      <c r="R207" s="702"/>
    </row>
    <row r="208" spans="18:18" x14ac:dyDescent="0.3">
      <c r="R208" s="702"/>
    </row>
    <row r="209" spans="18:18" x14ac:dyDescent="0.3">
      <c r="R209" s="702"/>
    </row>
    <row r="210" spans="18:18" x14ac:dyDescent="0.3">
      <c r="R210" s="702"/>
    </row>
    <row r="211" spans="18:18" x14ac:dyDescent="0.3">
      <c r="R211" s="702"/>
    </row>
    <row r="212" spans="18:18" x14ac:dyDescent="0.3">
      <c r="R212" s="702"/>
    </row>
    <row r="213" spans="18:18" x14ac:dyDescent="0.3">
      <c r="R213" s="702"/>
    </row>
    <row r="214" spans="18:18" x14ac:dyDescent="0.3">
      <c r="R214" s="702"/>
    </row>
    <row r="215" spans="18:18" x14ac:dyDescent="0.3">
      <c r="R215" s="702"/>
    </row>
    <row r="216" spans="18:18" x14ac:dyDescent="0.3">
      <c r="R216" s="702"/>
    </row>
    <row r="217" spans="18:18" x14ac:dyDescent="0.3">
      <c r="R217" s="702"/>
    </row>
    <row r="218" spans="18:18" x14ac:dyDescent="0.3">
      <c r="R218" s="702"/>
    </row>
    <row r="219" spans="18:18" x14ac:dyDescent="0.3">
      <c r="R219" s="702"/>
    </row>
    <row r="220" spans="18:18" x14ac:dyDescent="0.3">
      <c r="R220" s="702"/>
    </row>
    <row r="221" spans="18:18" x14ac:dyDescent="0.3">
      <c r="R221" s="702"/>
    </row>
    <row r="222" spans="18:18" x14ac:dyDescent="0.3">
      <c r="R222" s="702"/>
    </row>
    <row r="223" spans="18:18" x14ac:dyDescent="0.3">
      <c r="R223" s="702"/>
    </row>
    <row r="224" spans="18:18" x14ac:dyDescent="0.3">
      <c r="R224" s="702"/>
    </row>
    <row r="225" spans="18:18" x14ac:dyDescent="0.3">
      <c r="R225" s="702"/>
    </row>
    <row r="226" spans="18:18" x14ac:dyDescent="0.3">
      <c r="R226" s="702"/>
    </row>
    <row r="227" spans="18:18" x14ac:dyDescent="0.3">
      <c r="R227" s="702"/>
    </row>
    <row r="228" spans="18:18" x14ac:dyDescent="0.3">
      <c r="R228" s="702"/>
    </row>
    <row r="229" spans="18:18" x14ac:dyDescent="0.3">
      <c r="R229" s="702"/>
    </row>
    <row r="230" spans="18:18" x14ac:dyDescent="0.3">
      <c r="R230" s="702"/>
    </row>
    <row r="231" spans="18:18" x14ac:dyDescent="0.3">
      <c r="R231" s="702"/>
    </row>
    <row r="232" spans="18:18" x14ac:dyDescent="0.3">
      <c r="R232" s="702"/>
    </row>
    <row r="233" spans="18:18" x14ac:dyDescent="0.3">
      <c r="R233" s="702"/>
    </row>
    <row r="234" spans="18:18" x14ac:dyDescent="0.3">
      <c r="R234" s="702"/>
    </row>
    <row r="235" spans="18:18" x14ac:dyDescent="0.3">
      <c r="R235" s="702"/>
    </row>
    <row r="236" spans="18:18" x14ac:dyDescent="0.3">
      <c r="R236" s="702"/>
    </row>
    <row r="237" spans="18:18" x14ac:dyDescent="0.3">
      <c r="R237" s="702"/>
    </row>
    <row r="238" spans="18:18" x14ac:dyDescent="0.3">
      <c r="R238" s="702"/>
    </row>
    <row r="239" spans="18:18" x14ac:dyDescent="0.3">
      <c r="R239" s="702"/>
    </row>
    <row r="240" spans="18:18" x14ac:dyDescent="0.3">
      <c r="R240" s="702"/>
    </row>
    <row r="241" spans="18:18" x14ac:dyDescent="0.3">
      <c r="R241" s="702"/>
    </row>
    <row r="242" spans="18:18" x14ac:dyDescent="0.3">
      <c r="R242" s="702"/>
    </row>
    <row r="243" spans="18:18" x14ac:dyDescent="0.3">
      <c r="R243" s="702"/>
    </row>
    <row r="244" spans="18:18" x14ac:dyDescent="0.3">
      <c r="R244" s="702"/>
    </row>
    <row r="245" spans="18:18" x14ac:dyDescent="0.3">
      <c r="R245" s="702"/>
    </row>
    <row r="246" spans="18:18" x14ac:dyDescent="0.3">
      <c r="R246" s="702"/>
    </row>
    <row r="247" spans="18:18" x14ac:dyDescent="0.3">
      <c r="R247" s="702"/>
    </row>
    <row r="248" spans="18:18" x14ac:dyDescent="0.3">
      <c r="R248" s="702"/>
    </row>
    <row r="249" spans="18:18" x14ac:dyDescent="0.3">
      <c r="R249" s="702"/>
    </row>
    <row r="250" spans="18:18" x14ac:dyDescent="0.3">
      <c r="R250" s="702"/>
    </row>
    <row r="251" spans="18:18" x14ac:dyDescent="0.3">
      <c r="R251" s="702"/>
    </row>
    <row r="252" spans="18:18" x14ac:dyDescent="0.3">
      <c r="R252" s="702"/>
    </row>
    <row r="253" spans="18:18" x14ac:dyDescent="0.3">
      <c r="R253" s="702"/>
    </row>
    <row r="254" spans="18:18" x14ac:dyDescent="0.3">
      <c r="R254" s="702"/>
    </row>
    <row r="255" spans="18:18" x14ac:dyDescent="0.3">
      <c r="R255" s="702"/>
    </row>
    <row r="256" spans="18:18" x14ac:dyDescent="0.3">
      <c r="R256" s="702"/>
    </row>
    <row r="257" spans="18:18" x14ac:dyDescent="0.3">
      <c r="R257" s="702"/>
    </row>
    <row r="258" spans="18:18" x14ac:dyDescent="0.3">
      <c r="R258" s="702"/>
    </row>
    <row r="259" spans="18:18" x14ac:dyDescent="0.3">
      <c r="R259" s="702"/>
    </row>
    <row r="260" spans="18:18" x14ac:dyDescent="0.3">
      <c r="R260" s="702"/>
    </row>
    <row r="261" spans="18:18" x14ac:dyDescent="0.3">
      <c r="R261" s="702"/>
    </row>
    <row r="262" spans="18:18" x14ac:dyDescent="0.3">
      <c r="R262" s="702"/>
    </row>
    <row r="263" spans="18:18" x14ac:dyDescent="0.3">
      <c r="R263" s="702"/>
    </row>
    <row r="264" spans="18:18" x14ac:dyDescent="0.3">
      <c r="R264" s="702"/>
    </row>
    <row r="265" spans="18:18" x14ac:dyDescent="0.3">
      <c r="R265" s="702"/>
    </row>
    <row r="266" spans="18:18" x14ac:dyDescent="0.3">
      <c r="R266" s="702"/>
    </row>
    <row r="267" spans="18:18" x14ac:dyDescent="0.3">
      <c r="R267" s="702"/>
    </row>
    <row r="268" spans="18:18" x14ac:dyDescent="0.3">
      <c r="R268" s="702"/>
    </row>
    <row r="269" spans="18:18" x14ac:dyDescent="0.3">
      <c r="R269" s="702"/>
    </row>
    <row r="270" spans="18:18" x14ac:dyDescent="0.3">
      <c r="R270" s="702"/>
    </row>
    <row r="271" spans="18:18" x14ac:dyDescent="0.3">
      <c r="R271" s="702"/>
    </row>
    <row r="272" spans="18:18" x14ac:dyDescent="0.3">
      <c r="R272" s="702"/>
    </row>
    <row r="273" spans="18:18" x14ac:dyDescent="0.3">
      <c r="R273" s="702"/>
    </row>
    <row r="274" spans="18:18" x14ac:dyDescent="0.3">
      <c r="R274" s="702"/>
    </row>
    <row r="275" spans="18:18" x14ac:dyDescent="0.3">
      <c r="R275" s="702"/>
    </row>
    <row r="276" spans="18:18" x14ac:dyDescent="0.3">
      <c r="R276" s="702"/>
    </row>
    <row r="277" spans="18:18" x14ac:dyDescent="0.3">
      <c r="R277" s="702"/>
    </row>
    <row r="278" spans="18:18" x14ac:dyDescent="0.3">
      <c r="R278" s="702"/>
    </row>
    <row r="279" spans="18:18" x14ac:dyDescent="0.3">
      <c r="R279" s="702"/>
    </row>
    <row r="280" spans="18:18" x14ac:dyDescent="0.3">
      <c r="R280" s="702"/>
    </row>
    <row r="281" spans="18:18" x14ac:dyDescent="0.3">
      <c r="R281" s="702"/>
    </row>
    <row r="282" spans="18:18" x14ac:dyDescent="0.3">
      <c r="R282" s="702"/>
    </row>
    <row r="283" spans="18:18" x14ac:dyDescent="0.3">
      <c r="R283" s="702"/>
    </row>
    <row r="284" spans="18:18" x14ac:dyDescent="0.3">
      <c r="R284" s="702"/>
    </row>
    <row r="285" spans="18:18" x14ac:dyDescent="0.3">
      <c r="R285" s="702"/>
    </row>
    <row r="286" spans="18:18" x14ac:dyDescent="0.3">
      <c r="R286" s="702"/>
    </row>
    <row r="287" spans="18:18" x14ac:dyDescent="0.3">
      <c r="R287" s="702"/>
    </row>
    <row r="288" spans="18:18" x14ac:dyDescent="0.3">
      <c r="R288" s="702"/>
    </row>
    <row r="289" spans="18:18" x14ac:dyDescent="0.3">
      <c r="R289" s="702"/>
    </row>
    <row r="290" spans="18:18" x14ac:dyDescent="0.3">
      <c r="R290" s="702"/>
    </row>
    <row r="291" spans="18:18" x14ac:dyDescent="0.3">
      <c r="R291" s="702"/>
    </row>
    <row r="292" spans="18:18" x14ac:dyDescent="0.3">
      <c r="R292" s="702"/>
    </row>
    <row r="293" spans="18:18" x14ac:dyDescent="0.3">
      <c r="R293" s="702"/>
    </row>
    <row r="294" spans="18:18" x14ac:dyDescent="0.3">
      <c r="R294" s="702"/>
    </row>
    <row r="295" spans="18:18" x14ac:dyDescent="0.3">
      <c r="R295" s="702"/>
    </row>
    <row r="296" spans="18:18" x14ac:dyDescent="0.3">
      <c r="R296" s="702"/>
    </row>
    <row r="297" spans="18:18" x14ac:dyDescent="0.3">
      <c r="R297" s="702"/>
    </row>
    <row r="298" spans="18:18" x14ac:dyDescent="0.3">
      <c r="R298" s="702"/>
    </row>
    <row r="299" spans="18:18" x14ac:dyDescent="0.3">
      <c r="R299" s="702"/>
    </row>
    <row r="300" spans="18:18" x14ac:dyDescent="0.3">
      <c r="R300" s="702"/>
    </row>
    <row r="301" spans="18:18" x14ac:dyDescent="0.3">
      <c r="R301" s="702"/>
    </row>
    <row r="302" spans="18:18" x14ac:dyDescent="0.3">
      <c r="R302" s="702"/>
    </row>
    <row r="303" spans="18:18" x14ac:dyDescent="0.3">
      <c r="R303" s="702"/>
    </row>
    <row r="304" spans="18:18" x14ac:dyDescent="0.3">
      <c r="R304" s="702"/>
    </row>
    <row r="305" spans="18:18" x14ac:dyDescent="0.3">
      <c r="R305" s="702"/>
    </row>
    <row r="306" spans="18:18" x14ac:dyDescent="0.3">
      <c r="R306" s="702"/>
    </row>
    <row r="307" spans="18:18" x14ac:dyDescent="0.3">
      <c r="R307" s="702"/>
    </row>
    <row r="308" spans="18:18" x14ac:dyDescent="0.3">
      <c r="R308" s="702"/>
    </row>
    <row r="309" spans="18:18" x14ac:dyDescent="0.3">
      <c r="R309" s="702"/>
    </row>
    <row r="310" spans="18:18" x14ac:dyDescent="0.3">
      <c r="R310" s="702"/>
    </row>
    <row r="311" spans="18:18" x14ac:dyDescent="0.3">
      <c r="R311" s="702"/>
    </row>
    <row r="312" spans="18:18" x14ac:dyDescent="0.3">
      <c r="R312" s="702"/>
    </row>
    <row r="313" spans="18:18" x14ac:dyDescent="0.3">
      <c r="R313" s="702"/>
    </row>
    <row r="314" spans="18:18" x14ac:dyDescent="0.3">
      <c r="R314" s="702"/>
    </row>
    <row r="315" spans="18:18" x14ac:dyDescent="0.3">
      <c r="R315" s="702"/>
    </row>
    <row r="316" spans="18:18" x14ac:dyDescent="0.3">
      <c r="R316" s="702"/>
    </row>
    <row r="317" spans="18:18" x14ac:dyDescent="0.3">
      <c r="R317" s="702"/>
    </row>
    <row r="318" spans="18:18" x14ac:dyDescent="0.3">
      <c r="R318" s="702"/>
    </row>
    <row r="319" spans="18:18" x14ac:dyDescent="0.3">
      <c r="R319" s="702"/>
    </row>
    <row r="320" spans="18:18" x14ac:dyDescent="0.3">
      <c r="R320" s="702"/>
    </row>
    <row r="321" spans="18:18" x14ac:dyDescent="0.3">
      <c r="R321" s="702"/>
    </row>
    <row r="322" spans="18:18" x14ac:dyDescent="0.3">
      <c r="R322" s="702"/>
    </row>
    <row r="323" spans="18:18" x14ac:dyDescent="0.3">
      <c r="R323" s="702"/>
    </row>
    <row r="324" spans="18:18" x14ac:dyDescent="0.3">
      <c r="R324" s="702"/>
    </row>
    <row r="325" spans="18:18" x14ac:dyDescent="0.3">
      <c r="R325" s="702"/>
    </row>
    <row r="326" spans="18:18" x14ac:dyDescent="0.3">
      <c r="R326" s="702"/>
    </row>
    <row r="327" spans="18:18" x14ac:dyDescent="0.3">
      <c r="R327" s="702"/>
    </row>
    <row r="328" spans="18:18" x14ac:dyDescent="0.3">
      <c r="R328" s="702"/>
    </row>
    <row r="329" spans="18:18" x14ac:dyDescent="0.3">
      <c r="R329" s="702"/>
    </row>
    <row r="330" spans="18:18" x14ac:dyDescent="0.3">
      <c r="R330" s="702"/>
    </row>
    <row r="331" spans="18:18" x14ac:dyDescent="0.3">
      <c r="R331" s="702"/>
    </row>
    <row r="332" spans="18:18" x14ac:dyDescent="0.3">
      <c r="R332" s="702"/>
    </row>
    <row r="333" spans="18:18" x14ac:dyDescent="0.3">
      <c r="R333" s="702"/>
    </row>
    <row r="334" spans="18:18" x14ac:dyDescent="0.3">
      <c r="R334" s="702"/>
    </row>
    <row r="335" spans="18:18" x14ac:dyDescent="0.3">
      <c r="R335" s="702"/>
    </row>
    <row r="336" spans="18:18" x14ac:dyDescent="0.3">
      <c r="R336" s="702"/>
    </row>
    <row r="337" spans="18:18" x14ac:dyDescent="0.3">
      <c r="R337" s="702"/>
    </row>
    <row r="338" spans="18:18" x14ac:dyDescent="0.3">
      <c r="R338" s="702"/>
    </row>
    <row r="339" spans="18:18" x14ac:dyDescent="0.3">
      <c r="R339" s="702"/>
    </row>
    <row r="340" spans="18:18" x14ac:dyDescent="0.3">
      <c r="R340" s="702"/>
    </row>
    <row r="341" spans="18:18" x14ac:dyDescent="0.3">
      <c r="R341" s="702"/>
    </row>
    <row r="342" spans="18:18" x14ac:dyDescent="0.3">
      <c r="R342" s="702"/>
    </row>
    <row r="343" spans="18:18" x14ac:dyDescent="0.3">
      <c r="R343" s="702"/>
    </row>
    <row r="344" spans="18:18" x14ac:dyDescent="0.3">
      <c r="R344" s="702"/>
    </row>
    <row r="345" spans="18:18" x14ac:dyDescent="0.3">
      <c r="R345" s="702"/>
    </row>
    <row r="346" spans="18:18" x14ac:dyDescent="0.3">
      <c r="R346" s="702"/>
    </row>
    <row r="347" spans="18:18" x14ac:dyDescent="0.3">
      <c r="R347" s="702"/>
    </row>
    <row r="348" spans="18:18" x14ac:dyDescent="0.3">
      <c r="R348" s="702"/>
    </row>
    <row r="349" spans="18:18" x14ac:dyDescent="0.3">
      <c r="R349" s="702"/>
    </row>
    <row r="350" spans="18:18" x14ac:dyDescent="0.3">
      <c r="R350" s="702"/>
    </row>
    <row r="351" spans="18:18" x14ac:dyDescent="0.3">
      <c r="R351" s="702"/>
    </row>
    <row r="352" spans="18:18" x14ac:dyDescent="0.3">
      <c r="R352" s="702"/>
    </row>
    <row r="353" spans="18:18" x14ac:dyDescent="0.3">
      <c r="R353" s="702"/>
    </row>
    <row r="354" spans="18:18" x14ac:dyDescent="0.3">
      <c r="R354" s="702"/>
    </row>
    <row r="355" spans="18:18" x14ac:dyDescent="0.3">
      <c r="R355" s="702"/>
    </row>
    <row r="356" spans="18:18" x14ac:dyDescent="0.3">
      <c r="R356" s="702"/>
    </row>
    <row r="357" spans="18:18" x14ac:dyDescent="0.3">
      <c r="R357" s="702"/>
    </row>
    <row r="358" spans="18:18" x14ac:dyDescent="0.3">
      <c r="R358" s="702"/>
    </row>
    <row r="359" spans="18:18" x14ac:dyDescent="0.3">
      <c r="R359" s="702"/>
    </row>
    <row r="360" spans="18:18" x14ac:dyDescent="0.3">
      <c r="R360" s="702"/>
    </row>
    <row r="361" spans="18:18" x14ac:dyDescent="0.3">
      <c r="R361" s="702"/>
    </row>
    <row r="362" spans="18:18" x14ac:dyDescent="0.3">
      <c r="R362" s="702"/>
    </row>
    <row r="363" spans="18:18" x14ac:dyDescent="0.3">
      <c r="R363" s="702"/>
    </row>
    <row r="364" spans="18:18" x14ac:dyDescent="0.3">
      <c r="R364" s="702"/>
    </row>
    <row r="365" spans="18:18" x14ac:dyDescent="0.3">
      <c r="R365" s="702"/>
    </row>
    <row r="366" spans="18:18" x14ac:dyDescent="0.3">
      <c r="R366" s="702"/>
    </row>
    <row r="367" spans="18:18" x14ac:dyDescent="0.3">
      <c r="R367" s="702"/>
    </row>
    <row r="368" spans="18:18" x14ac:dyDescent="0.3">
      <c r="R368" s="702"/>
    </row>
    <row r="369" spans="18:18" x14ac:dyDescent="0.3">
      <c r="R369" s="702"/>
    </row>
    <row r="370" spans="18:18" x14ac:dyDescent="0.3">
      <c r="R370" s="702"/>
    </row>
    <row r="371" spans="18:18" x14ac:dyDescent="0.3">
      <c r="R371" s="702"/>
    </row>
    <row r="372" spans="18:18" x14ac:dyDescent="0.3">
      <c r="R372" s="702"/>
    </row>
    <row r="373" spans="18:18" x14ac:dyDescent="0.3">
      <c r="R373" s="702"/>
    </row>
    <row r="374" spans="18:18" x14ac:dyDescent="0.3">
      <c r="R374" s="702"/>
    </row>
    <row r="375" spans="18:18" x14ac:dyDescent="0.3">
      <c r="R375" s="702"/>
    </row>
    <row r="376" spans="18:18" x14ac:dyDescent="0.3">
      <c r="R376" s="702"/>
    </row>
    <row r="377" spans="18:18" x14ac:dyDescent="0.3">
      <c r="R377" s="702"/>
    </row>
    <row r="378" spans="18:18" x14ac:dyDescent="0.3">
      <c r="R378" s="702"/>
    </row>
    <row r="379" spans="18:18" x14ac:dyDescent="0.3">
      <c r="R379" s="702"/>
    </row>
    <row r="380" spans="18:18" x14ac:dyDescent="0.3">
      <c r="R380" s="702"/>
    </row>
    <row r="381" spans="18:18" x14ac:dyDescent="0.3">
      <c r="R381" s="702"/>
    </row>
    <row r="382" spans="18:18" x14ac:dyDescent="0.3">
      <c r="R382" s="702"/>
    </row>
    <row r="383" spans="18:18" x14ac:dyDescent="0.3">
      <c r="R383" s="702"/>
    </row>
    <row r="384" spans="18:18" x14ac:dyDescent="0.3">
      <c r="R384" s="702"/>
    </row>
    <row r="385" spans="18:18" x14ac:dyDescent="0.3">
      <c r="R385" s="702"/>
    </row>
    <row r="386" spans="18:18" x14ac:dyDescent="0.3">
      <c r="R386" s="702"/>
    </row>
    <row r="387" spans="18:18" x14ac:dyDescent="0.3">
      <c r="R387" s="702"/>
    </row>
    <row r="388" spans="18:18" x14ac:dyDescent="0.3">
      <c r="R388" s="702"/>
    </row>
    <row r="389" spans="18:18" x14ac:dyDescent="0.3">
      <c r="R389" s="702"/>
    </row>
    <row r="390" spans="18:18" x14ac:dyDescent="0.3">
      <c r="R390" s="702"/>
    </row>
    <row r="391" spans="18:18" x14ac:dyDescent="0.3">
      <c r="R391" s="702"/>
    </row>
    <row r="392" spans="18:18" x14ac:dyDescent="0.3">
      <c r="R392" s="702"/>
    </row>
    <row r="393" spans="18:18" x14ac:dyDescent="0.3">
      <c r="R393" s="702"/>
    </row>
    <row r="394" spans="18:18" x14ac:dyDescent="0.3">
      <c r="R394" s="702"/>
    </row>
    <row r="395" spans="18:18" x14ac:dyDescent="0.3">
      <c r="R395" s="702"/>
    </row>
    <row r="396" spans="18:18" x14ac:dyDescent="0.3">
      <c r="R396" s="702"/>
    </row>
    <row r="397" spans="18:18" x14ac:dyDescent="0.3">
      <c r="R397" s="702"/>
    </row>
    <row r="398" spans="18:18" x14ac:dyDescent="0.3">
      <c r="R398" s="702"/>
    </row>
    <row r="399" spans="18:18" x14ac:dyDescent="0.3">
      <c r="R399" s="702"/>
    </row>
    <row r="400" spans="18:18" x14ac:dyDescent="0.3">
      <c r="R400" s="702"/>
    </row>
    <row r="401" spans="18:18" x14ac:dyDescent="0.3">
      <c r="R401" s="702"/>
    </row>
    <row r="402" spans="18:18" x14ac:dyDescent="0.3">
      <c r="R402" s="702"/>
    </row>
    <row r="403" spans="18:18" x14ac:dyDescent="0.3">
      <c r="R403" s="702"/>
    </row>
    <row r="404" spans="18:18" x14ac:dyDescent="0.3">
      <c r="R404" s="702"/>
    </row>
    <row r="405" spans="18:18" x14ac:dyDescent="0.3">
      <c r="R405" s="702"/>
    </row>
    <row r="406" spans="18:18" x14ac:dyDescent="0.3">
      <c r="R406" s="702"/>
    </row>
    <row r="407" spans="18:18" x14ac:dyDescent="0.3">
      <c r="R407" s="702"/>
    </row>
    <row r="408" spans="18:18" x14ac:dyDescent="0.3">
      <c r="R408" s="702"/>
    </row>
    <row r="409" spans="18:18" x14ac:dyDescent="0.3">
      <c r="R409" s="702"/>
    </row>
    <row r="410" spans="18:18" x14ac:dyDescent="0.3">
      <c r="R410" s="702"/>
    </row>
    <row r="411" spans="18:18" x14ac:dyDescent="0.3">
      <c r="R411" s="702"/>
    </row>
    <row r="412" spans="18:18" x14ac:dyDescent="0.3">
      <c r="R412" s="702"/>
    </row>
    <row r="413" spans="18:18" x14ac:dyDescent="0.3">
      <c r="R413" s="702"/>
    </row>
    <row r="414" spans="18:18" x14ac:dyDescent="0.3">
      <c r="R414" s="702"/>
    </row>
    <row r="415" spans="18:18" x14ac:dyDescent="0.3">
      <c r="R415" s="702"/>
    </row>
    <row r="416" spans="18:18" x14ac:dyDescent="0.3">
      <c r="R416" s="702"/>
    </row>
    <row r="417" spans="18:18" x14ac:dyDescent="0.3">
      <c r="R417" s="702"/>
    </row>
    <row r="418" spans="18:18" x14ac:dyDescent="0.3">
      <c r="R418" s="702"/>
    </row>
    <row r="419" spans="18:18" x14ac:dyDescent="0.3">
      <c r="R419" s="702"/>
    </row>
    <row r="420" spans="18:18" x14ac:dyDescent="0.3">
      <c r="R420" s="702"/>
    </row>
    <row r="421" spans="18:18" x14ac:dyDescent="0.3">
      <c r="R421" s="702"/>
    </row>
    <row r="422" spans="18:18" x14ac:dyDescent="0.3">
      <c r="R422" s="702"/>
    </row>
    <row r="423" spans="18:18" x14ac:dyDescent="0.3">
      <c r="R423" s="702"/>
    </row>
    <row r="424" spans="18:18" x14ac:dyDescent="0.3">
      <c r="R424" s="702"/>
    </row>
    <row r="425" spans="18:18" x14ac:dyDescent="0.3">
      <c r="R425" s="702"/>
    </row>
    <row r="426" spans="18:18" x14ac:dyDescent="0.3">
      <c r="R426" s="702"/>
    </row>
    <row r="427" spans="18:18" x14ac:dyDescent="0.3">
      <c r="R427" s="702"/>
    </row>
    <row r="428" spans="18:18" x14ac:dyDescent="0.3">
      <c r="R428" s="702"/>
    </row>
    <row r="429" spans="18:18" x14ac:dyDescent="0.3">
      <c r="R429" s="702"/>
    </row>
    <row r="430" spans="18:18" x14ac:dyDescent="0.3">
      <c r="R430" s="702"/>
    </row>
    <row r="431" spans="18:18" x14ac:dyDescent="0.3">
      <c r="R431" s="702"/>
    </row>
    <row r="432" spans="18:18" x14ac:dyDescent="0.3">
      <c r="R432" s="702"/>
    </row>
    <row r="433" spans="18:18" x14ac:dyDescent="0.3">
      <c r="R433" s="702"/>
    </row>
    <row r="434" spans="18:18" x14ac:dyDescent="0.3">
      <c r="R434" s="702"/>
    </row>
    <row r="435" spans="18:18" x14ac:dyDescent="0.3">
      <c r="R435" s="702"/>
    </row>
    <row r="436" spans="18:18" x14ac:dyDescent="0.3">
      <c r="R436" s="702"/>
    </row>
    <row r="437" spans="18:18" x14ac:dyDescent="0.3">
      <c r="R437" s="702"/>
    </row>
    <row r="438" spans="18:18" x14ac:dyDescent="0.3">
      <c r="R438" s="702"/>
    </row>
    <row r="439" spans="18:18" x14ac:dyDescent="0.3">
      <c r="R439" s="702"/>
    </row>
    <row r="440" spans="18:18" x14ac:dyDescent="0.3">
      <c r="R440" s="702"/>
    </row>
    <row r="441" spans="18:18" x14ac:dyDescent="0.3">
      <c r="R441" s="702"/>
    </row>
    <row r="442" spans="18:18" x14ac:dyDescent="0.3">
      <c r="R442" s="702"/>
    </row>
    <row r="443" spans="18:18" x14ac:dyDescent="0.3">
      <c r="R443" s="702"/>
    </row>
    <row r="444" spans="18:18" x14ac:dyDescent="0.3">
      <c r="R444" s="702"/>
    </row>
    <row r="445" spans="18:18" x14ac:dyDescent="0.3">
      <c r="R445" s="702"/>
    </row>
    <row r="446" spans="18:18" x14ac:dyDescent="0.3">
      <c r="R446" s="702"/>
    </row>
    <row r="447" spans="18:18" x14ac:dyDescent="0.3">
      <c r="R447" s="702"/>
    </row>
    <row r="448" spans="18:18" x14ac:dyDescent="0.3">
      <c r="R448" s="702"/>
    </row>
    <row r="449" spans="18:18" x14ac:dyDescent="0.3">
      <c r="R449" s="702"/>
    </row>
    <row r="450" spans="18:18" x14ac:dyDescent="0.3">
      <c r="R450" s="702"/>
    </row>
    <row r="451" spans="18:18" x14ac:dyDescent="0.3">
      <c r="R451" s="702"/>
    </row>
    <row r="452" spans="18:18" x14ac:dyDescent="0.3">
      <c r="R452" s="702"/>
    </row>
    <row r="453" spans="18:18" x14ac:dyDescent="0.3">
      <c r="R453" s="702"/>
    </row>
  </sheetData>
  <sheetProtection selectLockedCells="1"/>
  <mergeCells count="2">
    <mergeCell ref="A1:Q1"/>
    <mergeCell ref="O3:P3"/>
  </mergeCells>
  <conditionalFormatting sqref="A5:Q5 A19:Q81 Q6:Q18">
    <cfRule type="expression" dxfId="7" priority="14">
      <formula>MODE=2</formula>
    </cfRule>
  </conditionalFormatting>
  <hyperlinks>
    <hyperlink ref="O2" r:id="rId1" xr:uid="{00000000-0004-0000-0100-000000000000}"/>
    <hyperlink ref="C3" r:id="rId2" xr:uid="{00000000-0004-0000-0100-000001000000}"/>
  </hyperlinks>
  <pageMargins left="0.7" right="0.7" top="0.75" bottom="0.75" header="0.3" footer="0.3"/>
  <pageSetup orientation="portrait" r:id="rId3"/>
  <drawing r:id="rId4"/>
  <legacyDrawing r:id="rId5"/>
  <oleObjects>
    <mc:AlternateContent xmlns:mc="http://schemas.openxmlformats.org/markup-compatibility/2006">
      <mc:Choice Requires="x14">
        <oleObject progId="Visio.Drawing.11" shapeId="797704" r:id="rId6">
          <objectPr defaultSize="0" autoPict="0" r:id="rId7">
            <anchor moveWithCells="1" sizeWithCells="1">
              <from>
                <xdr:col>0</xdr:col>
                <xdr:colOff>533400</xdr:colOff>
                <xdr:row>18</xdr:row>
                <xdr:rowOff>38100</xdr:rowOff>
              </from>
              <to>
                <xdr:col>6</xdr:col>
                <xdr:colOff>342900</xdr:colOff>
                <xdr:row>35</xdr:row>
                <xdr:rowOff>101600</xdr:rowOff>
              </to>
            </anchor>
          </objectPr>
        </oleObject>
      </mc:Choice>
      <mc:Fallback>
        <oleObject progId="Visio.Drawing.11" shapeId="797704" r:id="rId6"/>
      </mc:Fallback>
    </mc:AlternateContent>
    <mc:AlternateContent xmlns:mc="http://schemas.openxmlformats.org/markup-compatibility/2006">
      <mc:Choice Requires="x14">
        <oleObject progId="Visio.Drawing.15" shapeId="797852" r:id="rId8">
          <objectPr defaultSize="0" autoPict="0" r:id="rId9">
            <anchor moveWithCells="1">
              <from>
                <xdr:col>8</xdr:col>
                <xdr:colOff>419100</xdr:colOff>
                <xdr:row>19</xdr:row>
                <xdr:rowOff>38100</xdr:rowOff>
              </from>
              <to>
                <xdr:col>14</xdr:col>
                <xdr:colOff>25400</xdr:colOff>
                <xdr:row>32</xdr:row>
                <xdr:rowOff>139700</xdr:rowOff>
              </to>
            </anchor>
          </objectPr>
        </oleObject>
      </mc:Choice>
      <mc:Fallback>
        <oleObject progId="Visio.Drawing.15" shapeId="797852" r:id="rId8"/>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R452"/>
  <sheetViews>
    <sheetView topLeftCell="C1" zoomScale="115" zoomScaleNormal="115" workbookViewId="0">
      <selection activeCell="G34" sqref="G34"/>
    </sheetView>
  </sheetViews>
  <sheetFormatPr defaultRowHeight="13" x14ac:dyDescent="0.3"/>
  <cols>
    <col min="4" max="4" width="4.36328125" customWidth="1"/>
    <col min="16" max="16" width="20.36328125" customWidth="1"/>
    <col min="17" max="17" width="71.54296875" customWidth="1"/>
    <col min="18" max="18" width="30.453125" style="79" customWidth="1"/>
  </cols>
  <sheetData>
    <row r="1" spans="1:18" ht="39.5" x14ac:dyDescent="0.3">
      <c r="A1" s="796" t="s">
        <v>805</v>
      </c>
      <c r="B1" s="797"/>
      <c r="C1" s="797"/>
      <c r="D1" s="797"/>
      <c r="E1" s="797"/>
      <c r="F1" s="797"/>
      <c r="G1" s="797"/>
      <c r="H1" s="797"/>
      <c r="I1" s="797"/>
      <c r="J1" s="797"/>
      <c r="K1" s="797"/>
      <c r="L1" s="797"/>
      <c r="M1" s="797"/>
      <c r="N1" s="797"/>
      <c r="O1" s="797"/>
      <c r="P1" s="797"/>
      <c r="Q1" s="797"/>
      <c r="R1" s="484"/>
    </row>
    <row r="2" spans="1:18" ht="17.75" customHeight="1" x14ac:dyDescent="0.65">
      <c r="A2" s="487"/>
      <c r="B2" s="488"/>
      <c r="C2" s="488"/>
      <c r="D2" s="488"/>
      <c r="E2" s="488"/>
      <c r="F2" s="488"/>
      <c r="G2" s="488"/>
      <c r="H2" s="488"/>
      <c r="I2" s="488"/>
      <c r="J2" s="488"/>
      <c r="K2" s="488"/>
      <c r="L2" s="488"/>
      <c r="M2" s="488"/>
      <c r="N2" s="488"/>
      <c r="O2" s="502" t="s">
        <v>585</v>
      </c>
      <c r="P2" s="488"/>
      <c r="Q2" s="488"/>
      <c r="R2" s="484"/>
    </row>
    <row r="3" spans="1:18" ht="16.25" customHeight="1" x14ac:dyDescent="0.65">
      <c r="A3" s="489" t="s">
        <v>232</v>
      </c>
      <c r="B3" s="490"/>
      <c r="C3" s="501" t="s">
        <v>233</v>
      </c>
      <c r="D3" s="491"/>
      <c r="E3" s="119"/>
      <c r="F3" s="495" t="s">
        <v>145</v>
      </c>
      <c r="G3" s="496"/>
      <c r="H3" s="488"/>
      <c r="I3" s="488"/>
      <c r="J3" s="496"/>
      <c r="K3" s="497"/>
      <c r="L3" s="498"/>
      <c r="M3" s="484"/>
      <c r="N3" s="484"/>
      <c r="O3" s="786" t="s">
        <v>51</v>
      </c>
      <c r="P3" s="786"/>
      <c r="Q3" s="484" t="s">
        <v>165</v>
      </c>
      <c r="R3" s="484"/>
    </row>
    <row r="4" spans="1:18" ht="14.75" customHeight="1" thickBot="1" x14ac:dyDescent="0.5">
      <c r="A4" s="492"/>
      <c r="B4" s="493"/>
      <c r="C4" s="494"/>
      <c r="D4" s="494"/>
      <c r="E4" s="494"/>
      <c r="F4" s="494"/>
      <c r="G4" s="494"/>
      <c r="H4" s="494"/>
      <c r="I4" s="494"/>
      <c r="J4" s="494"/>
      <c r="K4" s="494"/>
      <c r="L4" s="494"/>
      <c r="M4" s="499"/>
      <c r="N4" s="499"/>
      <c r="O4" s="499"/>
      <c r="P4" s="499"/>
      <c r="Q4" s="500"/>
      <c r="R4" s="484"/>
    </row>
    <row r="5" spans="1:18" x14ac:dyDescent="0.3">
      <c r="A5" s="134"/>
      <c r="B5" s="134"/>
      <c r="C5" s="134"/>
      <c r="D5" s="134"/>
      <c r="E5" s="134"/>
      <c r="F5" s="134"/>
      <c r="G5" s="134"/>
      <c r="H5" s="134"/>
      <c r="I5" s="134"/>
      <c r="J5" s="134"/>
      <c r="K5" s="134"/>
      <c r="L5" s="134"/>
      <c r="M5" s="134"/>
      <c r="N5" s="134"/>
      <c r="O5" s="134"/>
      <c r="P5" s="134"/>
      <c r="Q5" s="134"/>
      <c r="R5" s="484"/>
    </row>
    <row r="6" spans="1:18" x14ac:dyDescent="0.3">
      <c r="A6" s="134"/>
      <c r="B6" s="134"/>
      <c r="C6" s="134"/>
      <c r="D6" s="134"/>
      <c r="E6" s="134"/>
      <c r="F6" s="134"/>
      <c r="G6" s="134"/>
      <c r="H6" s="134"/>
      <c r="I6" s="134"/>
      <c r="J6" s="134"/>
      <c r="K6" s="134"/>
      <c r="L6" s="134"/>
      <c r="M6" s="134"/>
      <c r="N6" s="134"/>
      <c r="O6" s="134"/>
      <c r="P6" s="134"/>
      <c r="Q6" s="134"/>
      <c r="R6" s="484"/>
    </row>
    <row r="7" spans="1:18" ht="13.5" thickBot="1" x14ac:dyDescent="0.35">
      <c r="A7" s="644"/>
      <c r="B7" s="607" t="s">
        <v>813</v>
      </c>
      <c r="C7" s="134"/>
      <c r="D7" s="134"/>
      <c r="E7" s="134"/>
      <c r="F7" s="134"/>
      <c r="G7" s="134"/>
      <c r="H7" s="134"/>
      <c r="I7" s="134"/>
      <c r="J7" s="134"/>
      <c r="K7" s="134"/>
      <c r="L7" s="134"/>
      <c r="M7" s="134"/>
      <c r="N7" s="134"/>
      <c r="O7" s="134"/>
      <c r="P7" s="134"/>
      <c r="Q7" s="134"/>
      <c r="R7" s="484"/>
    </row>
    <row r="8" spans="1:18" x14ac:dyDescent="0.3">
      <c r="A8" s="134"/>
      <c r="B8" s="654" t="s">
        <v>812</v>
      </c>
      <c r="C8" s="658" t="str">
        <f>CHOOSE(INFILTER_TYPE,"","0.01-1","0.1-10")</f>
        <v/>
      </c>
      <c r="D8" s="161" t="s">
        <v>214</v>
      </c>
      <c r="E8" s="655"/>
      <c r="F8" s="654" t="s">
        <v>809</v>
      </c>
      <c r="G8" s="293">
        <v>1</v>
      </c>
      <c r="H8" s="161" t="s">
        <v>214</v>
      </c>
      <c r="I8" s="134"/>
      <c r="J8" s="134"/>
      <c r="K8" s="134"/>
      <c r="L8" s="134"/>
      <c r="M8" s="134"/>
      <c r="N8" s="134"/>
      <c r="O8" s="134"/>
      <c r="P8" s="134"/>
      <c r="Q8" s="134"/>
      <c r="R8" s="484"/>
    </row>
    <row r="9" spans="1:18" x14ac:dyDescent="0.3">
      <c r="A9" s="134"/>
      <c r="B9" s="124" t="str">
        <f>CHOOSE(INFILTER_TYPE,"","Suggested Cinj","Suggested Cf")</f>
        <v/>
      </c>
      <c r="C9" s="127" t="str">
        <f>CHOOSE(INFILTER_TYPE,"",'Standard Value Calculator'!S24,'Standard Value Calculator'!S23)</f>
        <v/>
      </c>
      <c r="D9" s="162" t="s">
        <v>215</v>
      </c>
      <c r="E9" s="134"/>
      <c r="F9" s="607" t="str">
        <f>CHOOSE(INFILTER_TYPE,"","Chosen Cinj","Chosen Cf")</f>
        <v/>
      </c>
      <c r="G9" s="128">
        <v>6.8000000000000005E-2</v>
      </c>
      <c r="H9" s="162" t="s">
        <v>215</v>
      </c>
      <c r="I9" s="134"/>
      <c r="J9" s="134"/>
      <c r="K9" s="134"/>
      <c r="L9" s="134"/>
      <c r="M9" s="134"/>
      <c r="N9" s="134"/>
      <c r="O9" s="134"/>
      <c r="P9" s="134"/>
      <c r="Q9" s="134"/>
      <c r="R9" s="484"/>
    </row>
    <row r="10" spans="1:18" x14ac:dyDescent="0.3">
      <c r="A10" s="134"/>
      <c r="B10" s="124" t="s">
        <v>807</v>
      </c>
      <c r="C10" s="124" t="str">
        <f>CHOOSE(INFILTER_TYPE,"",CHOOSE(OSC,"DNP",'Standard Value Calculator'!S25),'Standard Value Calculator'!S28)</f>
        <v/>
      </c>
      <c r="D10" s="162" t="s">
        <v>215</v>
      </c>
      <c r="E10" s="134"/>
      <c r="F10" s="607" t="s">
        <v>810</v>
      </c>
      <c r="G10" s="128">
        <v>3.3000000000000002E-2</v>
      </c>
      <c r="H10" s="162" t="s">
        <v>215</v>
      </c>
      <c r="I10" s="134"/>
      <c r="J10" s="134"/>
      <c r="K10" s="134"/>
      <c r="L10" s="134"/>
      <c r="M10" s="134"/>
      <c r="N10" s="134"/>
      <c r="O10" s="134"/>
      <c r="P10" s="134"/>
      <c r="Q10" s="134"/>
      <c r="R10" s="484"/>
    </row>
    <row r="11" spans="1:18" ht="13.5" thickBot="1" x14ac:dyDescent="0.35">
      <c r="A11" s="657"/>
      <c r="B11" s="648" t="s">
        <v>808</v>
      </c>
      <c r="C11" s="554" t="str">
        <f>CHOOSE(INFILTER_TYPE,"",'Standard Value Calculator'!S26,Rdamp_PassiveStd)</f>
        <v/>
      </c>
      <c r="D11" s="260" t="s">
        <v>138</v>
      </c>
      <c r="E11" s="643"/>
      <c r="F11" s="656" t="s">
        <v>811</v>
      </c>
      <c r="G11" s="246">
        <v>43.2</v>
      </c>
      <c r="H11" s="260" t="s">
        <v>138</v>
      </c>
      <c r="I11" s="134"/>
      <c r="J11" s="134"/>
      <c r="K11" s="134"/>
      <c r="L11" s="134"/>
      <c r="M11" s="134"/>
      <c r="N11" s="134"/>
      <c r="O11" s="134"/>
      <c r="P11" s="134"/>
      <c r="Q11" s="134"/>
      <c r="R11" s="484"/>
    </row>
    <row r="12" spans="1:18" x14ac:dyDescent="0.3">
      <c r="A12" s="134"/>
      <c r="B12" s="134"/>
      <c r="C12" s="134"/>
      <c r="D12" s="134"/>
      <c r="E12" s="655"/>
      <c r="F12" s="124" t="s">
        <v>784</v>
      </c>
      <c r="G12" s="127">
        <f>-'Variable Management'!B303</f>
        <v>0</v>
      </c>
      <c r="H12" s="162" t="s">
        <v>804</v>
      </c>
      <c r="I12" s="134"/>
      <c r="J12" s="134"/>
      <c r="K12" s="134"/>
      <c r="L12" s="134"/>
      <c r="M12" s="134"/>
      <c r="N12" s="134"/>
      <c r="O12" s="134"/>
      <c r="P12" s="134"/>
      <c r="Q12" s="134"/>
      <c r="R12" s="484"/>
    </row>
    <row r="13" spans="1:18" x14ac:dyDescent="0.3">
      <c r="A13" s="134"/>
      <c r="B13" s="134"/>
      <c r="C13" s="134"/>
      <c r="D13" s="134"/>
      <c r="E13" s="582"/>
      <c r="F13" s="124" t="s">
        <v>787</v>
      </c>
      <c r="G13" s="127">
        <f>VinRipple_dBuV</f>
        <v>90.276721041428459</v>
      </c>
      <c r="H13" s="162" t="s">
        <v>786</v>
      </c>
      <c r="I13" s="134"/>
      <c r="J13" s="134"/>
      <c r="K13" s="134"/>
      <c r="L13" s="134"/>
      <c r="M13" s="134"/>
      <c r="N13" s="134"/>
      <c r="O13" s="134"/>
      <c r="P13" s="134"/>
      <c r="Q13" s="134"/>
      <c r="R13" s="484"/>
    </row>
    <row r="14" spans="1:18" ht="13.5" thickBot="1" x14ac:dyDescent="0.35">
      <c r="A14" s="134"/>
      <c r="B14" s="134"/>
      <c r="C14" s="134"/>
      <c r="D14" s="134"/>
      <c r="E14" s="659"/>
      <c r="F14" s="648" t="s">
        <v>803</v>
      </c>
      <c r="G14" s="554">
        <f>'Variable Management'!B304</f>
        <v>90.276721041428459</v>
      </c>
      <c r="H14" s="260" t="s">
        <v>786</v>
      </c>
      <c r="I14" s="134"/>
      <c r="J14" s="134"/>
      <c r="K14" s="134"/>
      <c r="L14" s="134"/>
      <c r="M14" s="134"/>
      <c r="N14" s="134"/>
      <c r="O14" s="134"/>
      <c r="P14" s="134"/>
      <c r="Q14" s="134"/>
      <c r="R14" s="484"/>
    </row>
    <row r="15" spans="1:18" x14ac:dyDescent="0.3">
      <c r="A15" s="134"/>
      <c r="B15" s="134"/>
      <c r="C15" s="134"/>
      <c r="D15" s="134"/>
      <c r="E15" s="134"/>
      <c r="F15" s="134"/>
      <c r="G15" s="134"/>
      <c r="H15" s="134"/>
      <c r="I15" s="134"/>
      <c r="J15" s="134"/>
      <c r="K15" s="134"/>
      <c r="L15" s="134"/>
      <c r="M15" s="134"/>
      <c r="N15" s="134"/>
      <c r="O15" s="134"/>
      <c r="P15" s="134"/>
      <c r="Q15" s="134"/>
      <c r="R15" s="484"/>
    </row>
    <row r="16" spans="1:18" x14ac:dyDescent="0.3">
      <c r="A16" s="134"/>
      <c r="B16" s="134"/>
      <c r="C16" s="134"/>
      <c r="D16" s="134"/>
      <c r="E16" s="134"/>
      <c r="F16" s="134"/>
      <c r="G16" s="134"/>
      <c r="H16" s="134"/>
      <c r="I16" s="134"/>
      <c r="J16" s="134"/>
      <c r="K16" s="134"/>
      <c r="L16" s="134"/>
      <c r="M16" s="134"/>
      <c r="N16" s="134"/>
      <c r="O16" s="134"/>
      <c r="P16" s="134"/>
      <c r="Q16" s="134"/>
      <c r="R16" s="484"/>
    </row>
    <row r="17" spans="1:18" x14ac:dyDescent="0.3">
      <c r="A17" s="134"/>
      <c r="B17" s="134"/>
      <c r="C17" s="134"/>
      <c r="D17" s="134"/>
      <c r="E17" s="134"/>
      <c r="F17" s="134"/>
      <c r="G17" s="134"/>
      <c r="H17" s="134"/>
      <c r="I17" s="134"/>
      <c r="J17" s="134"/>
      <c r="K17" s="134"/>
      <c r="L17" s="134"/>
      <c r="M17" s="134"/>
      <c r="N17" s="134"/>
      <c r="O17" s="134"/>
      <c r="P17" s="134"/>
      <c r="Q17" s="134"/>
      <c r="R17" s="484"/>
    </row>
    <row r="18" spans="1:18" x14ac:dyDescent="0.3">
      <c r="A18" s="134"/>
      <c r="B18" s="134"/>
      <c r="C18" s="134"/>
      <c r="D18" s="134"/>
      <c r="E18" s="134"/>
      <c r="F18" s="134"/>
      <c r="G18" s="134"/>
      <c r="H18" s="134"/>
      <c r="I18" s="134"/>
      <c r="J18" s="134"/>
      <c r="K18" s="134"/>
      <c r="L18" s="134"/>
      <c r="M18" s="134"/>
      <c r="N18" s="134"/>
      <c r="O18" s="134"/>
      <c r="P18" s="134"/>
      <c r="Q18" s="134"/>
      <c r="R18" s="484"/>
    </row>
    <row r="19" spans="1:18" x14ac:dyDescent="0.3">
      <c r="A19" s="134"/>
      <c r="B19" s="134"/>
      <c r="C19" s="134"/>
      <c r="D19" s="134"/>
      <c r="E19" s="134"/>
      <c r="F19" s="134"/>
      <c r="G19" s="134"/>
      <c r="H19" s="134"/>
      <c r="I19" s="134"/>
      <c r="J19" s="134"/>
      <c r="K19" s="134"/>
      <c r="L19" s="134"/>
      <c r="M19" s="134"/>
      <c r="N19" s="134"/>
      <c r="O19" s="134"/>
      <c r="P19" s="134"/>
      <c r="Q19" s="134"/>
      <c r="R19" s="484"/>
    </row>
    <row r="20" spans="1:18" x14ac:dyDescent="0.3">
      <c r="A20" s="134"/>
      <c r="B20" s="134"/>
      <c r="C20" s="134"/>
      <c r="D20" s="134"/>
      <c r="E20" s="134"/>
      <c r="F20" s="134"/>
      <c r="G20" s="134"/>
      <c r="H20" s="134"/>
      <c r="I20" s="134"/>
      <c r="J20" s="134"/>
      <c r="K20" s="134"/>
      <c r="L20" s="134"/>
      <c r="M20" s="134"/>
      <c r="N20" s="134"/>
      <c r="O20" s="134"/>
      <c r="P20" s="134"/>
      <c r="Q20" s="134"/>
      <c r="R20" s="484"/>
    </row>
    <row r="21" spans="1:18" x14ac:dyDescent="0.3">
      <c r="A21" s="134"/>
      <c r="B21" s="134"/>
      <c r="C21" s="134"/>
      <c r="D21" s="134"/>
      <c r="E21" s="134"/>
      <c r="F21" s="134"/>
      <c r="G21" s="134"/>
      <c r="H21" s="134"/>
      <c r="I21" s="134"/>
      <c r="J21" s="134"/>
      <c r="K21" s="134"/>
      <c r="L21" s="134"/>
      <c r="M21" s="134"/>
      <c r="N21" s="134"/>
      <c r="O21" s="134"/>
      <c r="P21" s="134"/>
      <c r="Q21" s="134"/>
      <c r="R21" s="484"/>
    </row>
    <row r="22" spans="1:18" x14ac:dyDescent="0.3">
      <c r="A22" s="134"/>
      <c r="B22" s="134"/>
      <c r="C22" s="134"/>
      <c r="D22" s="134"/>
      <c r="E22" s="134"/>
      <c r="F22" s="134"/>
      <c r="G22" s="134"/>
      <c r="H22" s="134"/>
      <c r="I22" s="134"/>
      <c r="J22" s="134"/>
      <c r="K22" s="134"/>
      <c r="L22" s="134"/>
      <c r="M22" s="134"/>
      <c r="N22" s="134"/>
      <c r="O22" s="134"/>
      <c r="P22" s="134"/>
      <c r="Q22" s="134"/>
      <c r="R22" s="484"/>
    </row>
    <row r="23" spans="1:18" x14ac:dyDescent="0.3">
      <c r="A23" s="134"/>
      <c r="B23" s="134"/>
      <c r="C23" s="134"/>
      <c r="D23" s="134"/>
      <c r="E23" s="134"/>
      <c r="F23" s="134"/>
      <c r="G23" s="134"/>
      <c r="H23" s="134"/>
      <c r="I23" s="134"/>
      <c r="J23" s="134"/>
      <c r="K23" s="134"/>
      <c r="L23" s="134"/>
      <c r="M23" s="134"/>
      <c r="N23" s="134"/>
      <c r="O23" s="134"/>
      <c r="P23" s="134"/>
      <c r="Q23" s="134"/>
      <c r="R23" s="484"/>
    </row>
    <row r="24" spans="1:18" x14ac:dyDescent="0.3">
      <c r="A24" s="134"/>
      <c r="B24" s="134"/>
      <c r="C24" s="134"/>
      <c r="D24" s="134"/>
      <c r="E24" s="134"/>
      <c r="F24" s="134"/>
      <c r="G24" s="134"/>
      <c r="H24" s="134"/>
      <c r="I24" s="134"/>
      <c r="J24" s="134"/>
      <c r="K24" s="134"/>
      <c r="L24" s="134"/>
      <c r="M24" s="134"/>
      <c r="N24" s="134"/>
      <c r="O24" s="134"/>
      <c r="P24" s="134"/>
      <c r="Q24" s="134"/>
      <c r="R24" s="484"/>
    </row>
    <row r="25" spans="1:18" x14ac:dyDescent="0.3">
      <c r="A25" s="134"/>
      <c r="B25" s="134"/>
      <c r="C25" s="134"/>
      <c r="D25" s="134"/>
      <c r="E25" s="134"/>
      <c r="F25" s="134"/>
      <c r="G25" s="134"/>
      <c r="H25" s="134"/>
      <c r="I25" s="134"/>
      <c r="J25" s="134"/>
      <c r="K25" s="134"/>
      <c r="L25" s="134"/>
      <c r="M25" s="134"/>
      <c r="N25" s="134"/>
      <c r="O25" s="134"/>
      <c r="P25" s="134"/>
      <c r="Q25" s="134"/>
      <c r="R25" s="484"/>
    </row>
    <row r="26" spans="1:18" x14ac:dyDescent="0.3">
      <c r="A26" s="134"/>
      <c r="B26" s="134"/>
      <c r="C26" s="134"/>
      <c r="D26" s="134"/>
      <c r="E26" s="134"/>
      <c r="F26" s="134"/>
      <c r="G26" s="134"/>
      <c r="H26" s="134"/>
      <c r="I26" s="134"/>
      <c r="J26" s="134"/>
      <c r="K26" s="134"/>
      <c r="L26" s="134"/>
      <c r="M26" s="134"/>
      <c r="N26" s="134"/>
      <c r="O26" s="134"/>
      <c r="P26" s="134"/>
      <c r="Q26" s="134"/>
      <c r="R26" s="484"/>
    </row>
    <row r="27" spans="1:18" x14ac:dyDescent="0.3">
      <c r="A27" s="134"/>
      <c r="B27" s="134"/>
      <c r="C27" s="134"/>
      <c r="D27" s="134"/>
      <c r="E27" s="134"/>
      <c r="F27" s="134"/>
      <c r="G27" s="134"/>
      <c r="H27" s="134"/>
      <c r="I27" s="134"/>
      <c r="J27" s="134"/>
      <c r="K27" s="134"/>
      <c r="L27" s="134"/>
      <c r="M27" s="134"/>
      <c r="N27" s="134"/>
      <c r="O27" s="134"/>
      <c r="P27" s="134"/>
      <c r="Q27" s="134"/>
      <c r="R27" s="484"/>
    </row>
    <row r="28" spans="1:18" x14ac:dyDescent="0.3">
      <c r="A28" s="134"/>
      <c r="B28" s="134"/>
      <c r="C28" s="134"/>
      <c r="D28" s="134"/>
      <c r="E28" s="134"/>
      <c r="F28" s="134"/>
      <c r="G28" s="134"/>
      <c r="H28" s="134"/>
      <c r="I28" s="134"/>
      <c r="J28" s="134"/>
      <c r="K28" s="134"/>
      <c r="L28" s="134"/>
      <c r="M28" s="134"/>
      <c r="N28" s="134"/>
      <c r="O28" s="134"/>
      <c r="P28" s="134"/>
      <c r="Q28" s="134"/>
      <c r="R28" s="484"/>
    </row>
    <row r="29" spans="1:18" x14ac:dyDescent="0.3">
      <c r="A29" s="134"/>
      <c r="B29" s="134"/>
      <c r="C29" s="134"/>
      <c r="D29" s="134"/>
      <c r="E29" s="134"/>
      <c r="F29" s="134"/>
      <c r="G29" s="134"/>
      <c r="H29" s="134"/>
      <c r="I29" s="134"/>
      <c r="J29" s="134"/>
      <c r="K29" s="134"/>
      <c r="L29" s="134"/>
      <c r="M29" s="134"/>
      <c r="N29" s="134"/>
      <c r="O29" s="134"/>
      <c r="P29" s="134"/>
      <c r="Q29" s="134"/>
      <c r="R29" s="484"/>
    </row>
    <row r="30" spans="1:18" x14ac:dyDescent="0.3">
      <c r="A30" s="134"/>
      <c r="B30" s="134"/>
      <c r="C30" s="134"/>
      <c r="D30" s="134"/>
      <c r="E30" s="134"/>
      <c r="F30" s="134"/>
      <c r="G30" s="134"/>
      <c r="H30" s="134"/>
      <c r="I30" s="134"/>
      <c r="J30" s="134"/>
      <c r="K30" s="134"/>
      <c r="L30" s="134"/>
      <c r="M30" s="134"/>
      <c r="N30" s="134"/>
      <c r="O30" s="134"/>
      <c r="P30" s="134"/>
      <c r="Q30" s="134"/>
      <c r="R30" s="484"/>
    </row>
    <row r="31" spans="1:18" x14ac:dyDescent="0.3">
      <c r="A31" s="134"/>
      <c r="B31" s="134"/>
      <c r="C31" s="134"/>
      <c r="D31" s="134"/>
      <c r="E31" s="134"/>
      <c r="F31" s="134"/>
      <c r="G31" s="134"/>
      <c r="H31" s="134"/>
      <c r="I31" s="134"/>
      <c r="J31" s="134"/>
      <c r="K31" s="134"/>
      <c r="L31" s="134"/>
      <c r="M31" s="134"/>
      <c r="N31" s="134"/>
      <c r="O31" s="134"/>
      <c r="P31" s="134"/>
      <c r="Q31" s="134"/>
      <c r="R31" s="484"/>
    </row>
    <row r="32" spans="1:18" x14ac:dyDescent="0.3">
      <c r="A32" s="134"/>
      <c r="B32" s="134"/>
      <c r="C32" s="134"/>
      <c r="D32" s="134"/>
      <c r="E32" s="134"/>
      <c r="F32" s="134"/>
      <c r="G32" s="134"/>
      <c r="H32" s="134"/>
      <c r="I32" s="134"/>
      <c r="J32" s="134"/>
      <c r="K32" s="134"/>
      <c r="L32" s="134"/>
      <c r="M32" s="134"/>
      <c r="N32" s="134"/>
      <c r="O32" s="134"/>
      <c r="P32" s="134"/>
      <c r="Q32" s="134"/>
      <c r="R32" s="484"/>
    </row>
    <row r="33" spans="1:18" x14ac:dyDescent="0.3">
      <c r="A33" s="134"/>
      <c r="B33" s="134"/>
      <c r="C33" s="134"/>
      <c r="D33" s="134"/>
      <c r="E33" s="134"/>
      <c r="F33" s="134"/>
      <c r="G33" s="134"/>
      <c r="H33" s="134"/>
      <c r="I33" s="134"/>
      <c r="J33" s="134"/>
      <c r="K33" s="134"/>
      <c r="L33" s="134"/>
      <c r="M33" s="134"/>
      <c r="N33" s="134"/>
      <c r="O33" s="134"/>
      <c r="P33" s="134"/>
      <c r="Q33" s="134"/>
      <c r="R33" s="484"/>
    </row>
    <row r="34" spans="1:18" x14ac:dyDescent="0.3">
      <c r="A34" s="134"/>
      <c r="B34" s="134"/>
      <c r="C34" s="134"/>
      <c r="D34" s="134"/>
      <c r="E34" s="134"/>
      <c r="F34" s="134"/>
      <c r="G34" s="134"/>
      <c r="H34" s="134"/>
      <c r="I34" s="134"/>
      <c r="J34" s="134"/>
      <c r="K34" s="134"/>
      <c r="L34" s="134"/>
      <c r="M34" s="134"/>
      <c r="N34" s="134"/>
      <c r="O34" s="134"/>
      <c r="P34" s="134"/>
      <c r="Q34" s="134"/>
      <c r="R34" s="484"/>
    </row>
    <row r="35" spans="1:18" x14ac:dyDescent="0.3">
      <c r="A35" s="134"/>
      <c r="B35" s="134"/>
      <c r="C35" s="134"/>
      <c r="D35" s="134"/>
      <c r="E35" s="134"/>
      <c r="F35" s="134"/>
      <c r="G35" s="134"/>
      <c r="H35" s="134"/>
      <c r="I35" s="134"/>
      <c r="J35" s="134"/>
      <c r="K35" s="134"/>
      <c r="L35" s="134"/>
      <c r="M35" s="134"/>
      <c r="N35" s="134"/>
      <c r="O35" s="134"/>
      <c r="P35" s="134"/>
      <c r="Q35" s="134"/>
      <c r="R35" s="484"/>
    </row>
    <row r="36" spans="1:18" x14ac:dyDescent="0.3">
      <c r="A36" s="134"/>
      <c r="B36" s="134"/>
      <c r="C36" s="134"/>
      <c r="D36" s="134"/>
      <c r="E36" s="134"/>
      <c r="F36" s="134"/>
      <c r="G36" s="134"/>
      <c r="H36" s="134"/>
      <c r="I36" s="134"/>
      <c r="J36" s="134"/>
      <c r="K36" s="134"/>
      <c r="L36" s="134"/>
      <c r="M36" s="134"/>
      <c r="N36" s="134"/>
      <c r="O36" s="134"/>
      <c r="P36" s="134"/>
      <c r="Q36" s="134"/>
      <c r="R36" s="484"/>
    </row>
    <row r="37" spans="1:18" x14ac:dyDescent="0.3">
      <c r="A37" s="134"/>
      <c r="B37" s="134"/>
      <c r="C37" s="134"/>
      <c r="D37" s="134"/>
      <c r="E37" s="134"/>
      <c r="F37" s="134"/>
      <c r="G37" s="134"/>
      <c r="H37" s="134"/>
      <c r="I37" s="134"/>
      <c r="J37" s="134"/>
      <c r="K37" s="134"/>
      <c r="L37" s="134"/>
      <c r="M37" s="134"/>
      <c r="N37" s="134"/>
      <c r="O37" s="134"/>
      <c r="P37" s="134"/>
      <c r="Q37" s="134"/>
      <c r="R37" s="484"/>
    </row>
    <row r="38" spans="1:18" x14ac:dyDescent="0.3">
      <c r="A38" s="134"/>
      <c r="B38" s="134"/>
      <c r="C38" s="134"/>
      <c r="D38" s="134"/>
      <c r="E38" s="134"/>
      <c r="F38" s="134"/>
      <c r="G38" s="134"/>
      <c r="H38" s="134"/>
      <c r="I38" s="134"/>
      <c r="J38" s="134"/>
      <c r="K38" s="134"/>
      <c r="L38" s="134"/>
      <c r="M38" s="134"/>
      <c r="N38" s="134"/>
      <c r="O38" s="134"/>
      <c r="P38" s="134"/>
      <c r="Q38" s="134"/>
      <c r="R38" s="484"/>
    </row>
    <row r="39" spans="1:18" x14ac:dyDescent="0.3">
      <c r="A39" s="134"/>
      <c r="B39" s="134"/>
      <c r="C39" s="134"/>
      <c r="D39" s="134"/>
      <c r="E39" s="134"/>
      <c r="F39" s="134"/>
      <c r="G39" s="134"/>
      <c r="H39" s="134"/>
      <c r="I39" s="134"/>
      <c r="J39" s="134"/>
      <c r="K39" s="134"/>
      <c r="L39" s="134"/>
      <c r="M39" s="134"/>
      <c r="N39" s="134"/>
      <c r="O39" s="134"/>
      <c r="P39" s="134"/>
      <c r="Q39" s="134"/>
      <c r="R39" s="484"/>
    </row>
    <row r="40" spans="1:18" x14ac:dyDescent="0.3">
      <c r="A40" s="134"/>
      <c r="B40" s="134"/>
      <c r="C40" s="134"/>
      <c r="D40" s="134"/>
      <c r="E40" s="134"/>
      <c r="F40" s="134"/>
      <c r="G40" s="134"/>
      <c r="H40" s="134"/>
      <c r="I40" s="134"/>
      <c r="J40" s="134"/>
      <c r="K40" s="134"/>
      <c r="L40" s="134"/>
      <c r="M40" s="134"/>
      <c r="N40" s="134"/>
      <c r="O40" s="134"/>
      <c r="P40" s="134"/>
      <c r="Q40" s="134"/>
      <c r="R40" s="484"/>
    </row>
    <row r="41" spans="1:18" x14ac:dyDescent="0.3">
      <c r="A41" s="134"/>
      <c r="B41" s="134"/>
      <c r="C41" s="134"/>
      <c r="D41" s="134"/>
      <c r="E41" s="134"/>
      <c r="F41" s="134"/>
      <c r="G41" s="134"/>
      <c r="H41" s="134"/>
      <c r="I41" s="134"/>
      <c r="J41" s="134"/>
      <c r="K41" s="134"/>
      <c r="L41" s="134"/>
      <c r="M41" s="134"/>
      <c r="N41" s="134"/>
      <c r="O41" s="134"/>
      <c r="P41" s="134"/>
      <c r="Q41" s="134"/>
      <c r="R41" s="484"/>
    </row>
    <row r="42" spans="1:18" x14ac:dyDescent="0.3">
      <c r="A42" s="134"/>
      <c r="B42" s="134"/>
      <c r="C42" s="134"/>
      <c r="D42" s="134"/>
      <c r="E42" s="134"/>
      <c r="F42" s="134"/>
      <c r="G42" s="134"/>
      <c r="H42" s="134"/>
      <c r="I42" s="134"/>
      <c r="J42" s="134"/>
      <c r="K42" s="134"/>
      <c r="L42" s="134"/>
      <c r="M42" s="134"/>
      <c r="N42" s="134"/>
      <c r="O42" s="134"/>
      <c r="P42" s="134"/>
      <c r="Q42" s="134"/>
      <c r="R42" s="484"/>
    </row>
    <row r="43" spans="1:18" x14ac:dyDescent="0.3">
      <c r="A43" s="134"/>
      <c r="B43" s="134"/>
      <c r="C43" s="134"/>
      <c r="D43" s="134"/>
      <c r="E43" s="134"/>
      <c r="F43" s="134"/>
      <c r="G43" s="134"/>
      <c r="H43" s="134"/>
      <c r="I43" s="134"/>
      <c r="J43" s="134"/>
      <c r="K43" s="134"/>
      <c r="L43" s="134"/>
      <c r="M43" s="134"/>
      <c r="N43" s="134"/>
      <c r="O43" s="134"/>
      <c r="P43" s="134"/>
      <c r="Q43" s="134"/>
      <c r="R43" s="484"/>
    </row>
    <row r="44" spans="1:18" x14ac:dyDescent="0.3">
      <c r="A44" s="134"/>
      <c r="B44" s="134"/>
      <c r="C44" s="134"/>
      <c r="D44" s="134"/>
      <c r="E44" s="134"/>
      <c r="F44" s="134"/>
      <c r="G44" s="134"/>
      <c r="H44" s="134"/>
      <c r="I44" s="134"/>
      <c r="J44" s="134"/>
      <c r="K44" s="134"/>
      <c r="L44" s="134"/>
      <c r="M44" s="134"/>
      <c r="N44" s="134"/>
      <c r="O44" s="134"/>
      <c r="P44" s="134"/>
      <c r="Q44" s="134"/>
      <c r="R44" s="484"/>
    </row>
    <row r="45" spans="1:18" x14ac:dyDescent="0.3">
      <c r="A45" s="134"/>
      <c r="B45" s="134"/>
      <c r="C45" s="134"/>
      <c r="D45" s="134"/>
      <c r="E45" s="134"/>
      <c r="F45" s="134"/>
      <c r="G45" s="134"/>
      <c r="H45" s="134"/>
      <c r="I45" s="134"/>
      <c r="J45" s="134"/>
      <c r="K45" s="134"/>
      <c r="L45" s="134"/>
      <c r="M45" s="134"/>
      <c r="N45" s="134"/>
      <c r="O45" s="134"/>
      <c r="P45" s="134"/>
      <c r="Q45" s="134"/>
      <c r="R45" s="484"/>
    </row>
    <row r="46" spans="1:18" x14ac:dyDescent="0.3">
      <c r="A46" s="134"/>
      <c r="B46" s="134"/>
      <c r="C46" s="134"/>
      <c r="D46" s="134"/>
      <c r="E46" s="134"/>
      <c r="F46" s="134"/>
      <c r="G46" s="134"/>
      <c r="H46" s="134"/>
      <c r="I46" s="134"/>
      <c r="J46" s="134"/>
      <c r="K46" s="134"/>
      <c r="L46" s="134"/>
      <c r="M46" s="134"/>
      <c r="N46" s="134"/>
      <c r="O46" s="134"/>
      <c r="P46" s="134"/>
      <c r="Q46" s="134"/>
      <c r="R46" s="484"/>
    </row>
    <row r="47" spans="1:18" x14ac:dyDescent="0.3">
      <c r="A47" s="134"/>
      <c r="B47" s="134"/>
      <c r="C47" s="134"/>
      <c r="D47" s="134"/>
      <c r="E47" s="134"/>
      <c r="F47" s="134"/>
      <c r="G47" s="134"/>
      <c r="H47" s="134"/>
      <c r="I47" s="134"/>
      <c r="J47" s="134"/>
      <c r="K47" s="134"/>
      <c r="L47" s="134"/>
      <c r="M47" s="134"/>
      <c r="N47" s="134"/>
      <c r="O47" s="134"/>
      <c r="P47" s="134"/>
      <c r="Q47" s="134"/>
      <c r="R47" s="484"/>
    </row>
    <row r="48" spans="1:18" x14ac:dyDescent="0.3">
      <c r="A48" s="134"/>
      <c r="B48" s="134"/>
      <c r="C48" s="134"/>
      <c r="D48" s="134"/>
      <c r="E48" s="134"/>
      <c r="F48" s="134"/>
      <c r="G48" s="134"/>
      <c r="H48" s="134"/>
      <c r="I48" s="134"/>
      <c r="J48" s="134"/>
      <c r="K48" s="134"/>
      <c r="L48" s="134"/>
      <c r="M48" s="134"/>
      <c r="N48" s="134"/>
      <c r="O48" s="134"/>
      <c r="P48" s="134"/>
      <c r="Q48" s="134"/>
      <c r="R48" s="484"/>
    </row>
    <row r="49" spans="1:18" x14ac:dyDescent="0.3">
      <c r="A49" s="134"/>
      <c r="B49" s="134"/>
      <c r="C49" s="134"/>
      <c r="D49" s="134"/>
      <c r="E49" s="134"/>
      <c r="F49" s="134"/>
      <c r="G49" s="134"/>
      <c r="H49" s="134"/>
      <c r="I49" s="134"/>
      <c r="J49" s="134"/>
      <c r="K49" s="134"/>
      <c r="L49" s="134"/>
      <c r="M49" s="134"/>
      <c r="N49" s="134"/>
      <c r="O49" s="134"/>
      <c r="P49" s="134"/>
      <c r="Q49" s="134"/>
      <c r="R49" s="484"/>
    </row>
    <row r="50" spans="1:18" x14ac:dyDescent="0.3">
      <c r="A50" s="134"/>
      <c r="B50" s="134"/>
      <c r="C50" s="134"/>
      <c r="D50" s="134"/>
      <c r="E50" s="134"/>
      <c r="F50" s="134"/>
      <c r="G50" s="134"/>
      <c r="H50" s="134"/>
      <c r="I50" s="134"/>
      <c r="J50" s="134"/>
      <c r="K50" s="134"/>
      <c r="L50" s="134"/>
      <c r="M50" s="134"/>
      <c r="N50" s="134"/>
      <c r="O50" s="134"/>
      <c r="P50" s="134"/>
      <c r="Q50" s="134"/>
      <c r="R50" s="484"/>
    </row>
    <row r="51" spans="1:18" x14ac:dyDescent="0.3">
      <c r="A51" s="134"/>
      <c r="B51" s="134"/>
      <c r="C51" s="134"/>
      <c r="D51" s="134"/>
      <c r="E51" s="134"/>
      <c r="F51" s="134"/>
      <c r="G51" s="134"/>
      <c r="H51" s="134"/>
      <c r="I51" s="134"/>
      <c r="J51" s="134"/>
      <c r="K51" s="134"/>
      <c r="L51" s="134"/>
      <c r="M51" s="134"/>
      <c r="N51" s="134"/>
      <c r="O51" s="134"/>
      <c r="P51" s="134"/>
      <c r="Q51" s="134"/>
      <c r="R51" s="484"/>
    </row>
    <row r="52" spans="1:18" x14ac:dyDescent="0.3">
      <c r="A52" s="134"/>
      <c r="B52" s="134"/>
      <c r="C52" s="134"/>
      <c r="D52" s="134"/>
      <c r="E52" s="134"/>
      <c r="F52" s="134"/>
      <c r="G52" s="134"/>
      <c r="H52" s="134"/>
      <c r="I52" s="134"/>
      <c r="J52" s="134"/>
      <c r="K52" s="134"/>
      <c r="L52" s="134"/>
      <c r="M52" s="134"/>
      <c r="N52" s="134"/>
      <c r="O52" s="134"/>
      <c r="P52" s="134"/>
      <c r="Q52" s="134"/>
      <c r="R52" s="484"/>
    </row>
    <row r="53" spans="1:18" x14ac:dyDescent="0.3">
      <c r="A53" s="134"/>
      <c r="B53" s="134"/>
      <c r="C53" s="134"/>
      <c r="D53" s="134"/>
      <c r="E53" s="134"/>
      <c r="F53" s="134"/>
      <c r="G53" s="134"/>
      <c r="H53" s="134"/>
      <c r="I53" s="134"/>
      <c r="J53" s="134"/>
      <c r="K53" s="134"/>
      <c r="L53" s="134"/>
      <c r="M53" s="134"/>
      <c r="N53" s="134"/>
      <c r="O53" s="134"/>
      <c r="P53" s="134"/>
      <c r="Q53" s="134"/>
      <c r="R53" s="484"/>
    </row>
    <row r="54" spans="1:18" x14ac:dyDescent="0.3">
      <c r="A54" s="134"/>
      <c r="B54" s="134"/>
      <c r="C54" s="134"/>
      <c r="D54" s="134"/>
      <c r="E54" s="134"/>
      <c r="F54" s="134"/>
      <c r="G54" s="134"/>
      <c r="H54" s="134"/>
      <c r="I54" s="134"/>
      <c r="J54" s="134"/>
      <c r="K54" s="134"/>
      <c r="L54" s="134"/>
      <c r="M54" s="134"/>
      <c r="N54" s="134"/>
      <c r="O54" s="134"/>
      <c r="P54" s="134"/>
      <c r="Q54" s="134"/>
      <c r="R54" s="484"/>
    </row>
    <row r="55" spans="1:18" x14ac:dyDescent="0.3">
      <c r="A55" s="134"/>
      <c r="B55" s="134"/>
      <c r="C55" s="134"/>
      <c r="D55" s="134"/>
      <c r="E55" s="134"/>
      <c r="F55" s="134"/>
      <c r="G55" s="134"/>
      <c r="H55" s="134"/>
      <c r="I55" s="134"/>
      <c r="J55" s="134"/>
      <c r="K55" s="134"/>
      <c r="L55" s="134"/>
      <c r="M55" s="134"/>
      <c r="N55" s="134"/>
      <c r="O55" s="134"/>
      <c r="P55" s="134"/>
      <c r="Q55" s="134"/>
      <c r="R55" s="484"/>
    </row>
    <row r="56" spans="1:18" x14ac:dyDescent="0.3">
      <c r="A56" s="134"/>
      <c r="B56" s="134"/>
      <c r="C56" s="134"/>
      <c r="D56" s="134"/>
      <c r="E56" s="134"/>
      <c r="F56" s="134"/>
      <c r="G56" s="134"/>
      <c r="H56" s="134"/>
      <c r="I56" s="134"/>
      <c r="J56" s="134"/>
      <c r="K56" s="134"/>
      <c r="L56" s="134"/>
      <c r="M56" s="134"/>
      <c r="N56" s="134"/>
      <c r="O56" s="134"/>
      <c r="P56" s="134"/>
      <c r="Q56" s="134"/>
      <c r="R56" s="484"/>
    </row>
    <row r="57" spans="1:18" x14ac:dyDescent="0.3">
      <c r="A57" s="134"/>
      <c r="B57" s="134"/>
      <c r="C57" s="134"/>
      <c r="D57" s="134"/>
      <c r="E57" s="134"/>
      <c r="F57" s="134"/>
      <c r="G57" s="134"/>
      <c r="H57" s="134"/>
      <c r="I57" s="134"/>
      <c r="J57" s="134"/>
      <c r="K57" s="134"/>
      <c r="L57" s="134"/>
      <c r="M57" s="134"/>
      <c r="N57" s="134"/>
      <c r="O57" s="134"/>
      <c r="P57" s="134"/>
      <c r="Q57" s="134"/>
      <c r="R57" s="484"/>
    </row>
    <row r="58" spans="1:18" x14ac:dyDescent="0.3">
      <c r="A58" s="134"/>
      <c r="B58" s="134"/>
      <c r="C58" s="134"/>
      <c r="D58" s="134"/>
      <c r="E58" s="134"/>
      <c r="F58" s="134"/>
      <c r="G58" s="134"/>
      <c r="H58" s="134"/>
      <c r="I58" s="134"/>
      <c r="J58" s="134"/>
      <c r="K58" s="134"/>
      <c r="L58" s="134"/>
      <c r="M58" s="134"/>
      <c r="N58" s="134"/>
      <c r="O58" s="134"/>
      <c r="P58" s="134"/>
      <c r="Q58" s="134"/>
      <c r="R58" s="484"/>
    </row>
    <row r="59" spans="1:18" x14ac:dyDescent="0.3">
      <c r="A59" s="134"/>
      <c r="B59" s="134"/>
      <c r="C59" s="134"/>
      <c r="D59" s="134"/>
      <c r="E59" s="134"/>
      <c r="F59" s="134"/>
      <c r="G59" s="134"/>
      <c r="H59" s="134"/>
      <c r="I59" s="134"/>
      <c r="J59" s="134"/>
      <c r="K59" s="134"/>
      <c r="L59" s="134"/>
      <c r="M59" s="134"/>
      <c r="N59" s="134"/>
      <c r="O59" s="134"/>
      <c r="P59" s="134"/>
      <c r="Q59" s="134"/>
      <c r="R59" s="484"/>
    </row>
    <row r="60" spans="1:18" x14ac:dyDescent="0.3">
      <c r="A60" s="134"/>
      <c r="B60" s="134"/>
      <c r="C60" s="134"/>
      <c r="D60" s="134"/>
      <c r="E60" s="134"/>
      <c r="F60" s="134"/>
      <c r="G60" s="134"/>
      <c r="H60" s="134"/>
      <c r="I60" s="134"/>
      <c r="J60" s="134"/>
      <c r="K60" s="134"/>
      <c r="L60" s="134"/>
      <c r="M60" s="134"/>
      <c r="N60" s="134"/>
      <c r="O60" s="134"/>
      <c r="P60" s="134"/>
      <c r="Q60" s="134"/>
      <c r="R60" s="483"/>
    </row>
    <row r="61" spans="1:18" x14ac:dyDescent="0.3">
      <c r="A61" s="134"/>
      <c r="B61" s="134"/>
      <c r="C61" s="134"/>
      <c r="D61" s="134"/>
      <c r="E61" s="134"/>
      <c r="F61" s="134"/>
      <c r="G61" s="134"/>
      <c r="H61" s="134"/>
      <c r="I61" s="134"/>
      <c r="J61" s="134"/>
      <c r="K61" s="134"/>
      <c r="L61" s="134"/>
      <c r="M61" s="134"/>
      <c r="N61" s="134"/>
      <c r="O61" s="134"/>
      <c r="P61" s="134"/>
      <c r="Q61" s="134"/>
      <c r="R61" s="483"/>
    </row>
    <row r="62" spans="1:18" x14ac:dyDescent="0.3">
      <c r="A62" s="134"/>
      <c r="B62" s="134"/>
      <c r="C62" s="134"/>
      <c r="D62" s="134"/>
      <c r="E62" s="134"/>
      <c r="F62" s="134"/>
      <c r="G62" s="134"/>
      <c r="H62" s="134"/>
      <c r="I62" s="134"/>
      <c r="J62" s="134"/>
      <c r="K62" s="134"/>
      <c r="L62" s="134"/>
      <c r="M62" s="134"/>
      <c r="N62" s="134"/>
      <c r="O62" s="134"/>
      <c r="P62" s="134"/>
      <c r="Q62" s="134"/>
      <c r="R62" s="483"/>
    </row>
    <row r="63" spans="1:18" x14ac:dyDescent="0.3">
      <c r="A63" s="134"/>
      <c r="B63" s="134"/>
      <c r="C63" s="134"/>
      <c r="D63" s="134"/>
      <c r="E63" s="134"/>
      <c r="F63" s="134"/>
      <c r="G63" s="134"/>
      <c r="H63" s="134"/>
      <c r="I63" s="134"/>
      <c r="J63" s="134"/>
      <c r="K63" s="134"/>
      <c r="L63" s="134"/>
      <c r="M63" s="134"/>
      <c r="N63" s="134"/>
      <c r="O63" s="134"/>
      <c r="P63" s="134"/>
      <c r="Q63" s="134"/>
      <c r="R63" s="483"/>
    </row>
    <row r="64" spans="1:18" x14ac:dyDescent="0.3">
      <c r="A64" s="134"/>
      <c r="B64" s="134"/>
      <c r="C64" s="134"/>
      <c r="D64" s="134"/>
      <c r="E64" s="134"/>
      <c r="F64" s="134"/>
      <c r="G64" s="134"/>
      <c r="H64" s="134"/>
      <c r="I64" s="134"/>
      <c r="J64" s="134"/>
      <c r="K64" s="134"/>
      <c r="L64" s="134"/>
      <c r="M64" s="134"/>
      <c r="N64" s="134"/>
      <c r="O64" s="134"/>
      <c r="P64" s="134"/>
      <c r="Q64" s="134"/>
      <c r="R64" s="483"/>
    </row>
    <row r="65" spans="1:18" x14ac:dyDescent="0.3">
      <c r="A65" s="134"/>
      <c r="B65" s="134"/>
      <c r="C65" s="134"/>
      <c r="D65" s="134"/>
      <c r="E65" s="134"/>
      <c r="F65" s="134"/>
      <c r="G65" s="134"/>
      <c r="H65" s="134"/>
      <c r="I65" s="134"/>
      <c r="J65" s="134"/>
      <c r="K65" s="134"/>
      <c r="L65" s="134"/>
      <c r="M65" s="134"/>
      <c r="N65" s="134"/>
      <c r="O65" s="134"/>
      <c r="P65" s="134"/>
      <c r="Q65" s="134"/>
      <c r="R65" s="483"/>
    </row>
    <row r="66" spans="1:18" x14ac:dyDescent="0.3">
      <c r="A66" s="134"/>
      <c r="B66" s="134"/>
      <c r="C66" s="134"/>
      <c r="D66" s="134"/>
      <c r="E66" s="134"/>
      <c r="F66" s="134"/>
      <c r="G66" s="134"/>
      <c r="H66" s="134"/>
      <c r="I66" s="134"/>
      <c r="J66" s="134"/>
      <c r="K66" s="134"/>
      <c r="L66" s="134"/>
      <c r="M66" s="134"/>
      <c r="N66" s="134"/>
      <c r="O66" s="134"/>
      <c r="P66" s="134"/>
      <c r="Q66" s="134"/>
      <c r="R66" s="483"/>
    </row>
    <row r="67" spans="1:18" x14ac:dyDescent="0.3">
      <c r="A67" s="134"/>
      <c r="B67" s="134"/>
      <c r="C67" s="134"/>
      <c r="D67" s="134"/>
      <c r="E67" s="134"/>
      <c r="F67" s="134"/>
      <c r="G67" s="134"/>
      <c r="H67" s="134"/>
      <c r="I67" s="134"/>
      <c r="J67" s="134"/>
      <c r="K67" s="134"/>
      <c r="L67" s="134"/>
      <c r="M67" s="134"/>
      <c r="N67" s="134"/>
      <c r="O67" s="134"/>
      <c r="P67" s="134"/>
      <c r="Q67" s="134"/>
      <c r="R67" s="483"/>
    </row>
    <row r="68" spans="1:18" x14ac:dyDescent="0.3">
      <c r="A68" s="134"/>
      <c r="B68" s="134"/>
      <c r="C68" s="134"/>
      <c r="D68" s="134"/>
      <c r="E68" s="134"/>
      <c r="F68" s="134"/>
      <c r="G68" s="134"/>
      <c r="H68" s="134"/>
      <c r="I68" s="134"/>
      <c r="J68" s="134"/>
      <c r="K68" s="134"/>
      <c r="L68" s="134"/>
      <c r="M68" s="134"/>
      <c r="N68" s="134"/>
      <c r="O68" s="134"/>
      <c r="P68" s="134"/>
      <c r="Q68" s="134"/>
      <c r="R68" s="483"/>
    </row>
    <row r="69" spans="1:18" x14ac:dyDescent="0.3">
      <c r="A69" s="134"/>
      <c r="B69" s="134"/>
      <c r="C69" s="134"/>
      <c r="D69" s="134"/>
      <c r="E69" s="134"/>
      <c r="F69" s="134"/>
      <c r="G69" s="134"/>
      <c r="H69" s="134"/>
      <c r="I69" s="134"/>
      <c r="J69" s="134"/>
      <c r="K69" s="134"/>
      <c r="L69" s="134"/>
      <c r="M69" s="134"/>
      <c r="N69" s="134"/>
      <c r="O69" s="134"/>
      <c r="P69" s="134"/>
      <c r="Q69" s="134"/>
      <c r="R69" s="485"/>
    </row>
    <row r="70" spans="1:18" x14ac:dyDescent="0.3">
      <c r="A70" s="134"/>
      <c r="B70" s="134"/>
      <c r="C70" s="134"/>
      <c r="D70" s="134"/>
      <c r="E70" s="134"/>
      <c r="F70" s="134"/>
      <c r="G70" s="134"/>
      <c r="H70" s="134"/>
      <c r="I70" s="134"/>
      <c r="J70" s="134"/>
      <c r="K70" s="134"/>
      <c r="L70" s="134"/>
      <c r="M70" s="134"/>
      <c r="N70" s="134"/>
      <c r="O70" s="134"/>
      <c r="P70" s="134"/>
      <c r="Q70" s="134"/>
      <c r="R70" s="483"/>
    </row>
    <row r="71" spans="1:18" x14ac:dyDescent="0.3">
      <c r="A71" s="134"/>
      <c r="B71" s="134"/>
      <c r="C71" s="134"/>
      <c r="D71" s="134"/>
      <c r="E71" s="134"/>
      <c r="F71" s="134"/>
      <c r="G71" s="134"/>
      <c r="H71" s="134"/>
      <c r="I71" s="134"/>
      <c r="J71" s="134"/>
      <c r="K71" s="134"/>
      <c r="L71" s="134"/>
      <c r="M71" s="134"/>
      <c r="N71" s="134"/>
      <c r="O71" s="134"/>
      <c r="P71" s="134"/>
      <c r="Q71" s="134"/>
      <c r="R71" s="483"/>
    </row>
    <row r="72" spans="1:18" x14ac:dyDescent="0.3">
      <c r="A72" s="134"/>
      <c r="B72" s="134"/>
      <c r="C72" s="134"/>
      <c r="D72" s="134"/>
      <c r="E72" s="134"/>
      <c r="F72" s="134"/>
      <c r="G72" s="134"/>
      <c r="H72" s="134"/>
      <c r="I72" s="134"/>
      <c r="J72" s="134"/>
      <c r="K72" s="134"/>
      <c r="L72" s="134"/>
      <c r="M72" s="134"/>
      <c r="N72" s="134"/>
      <c r="O72" s="134"/>
      <c r="P72" s="134"/>
      <c r="Q72" s="134"/>
      <c r="R72" s="483"/>
    </row>
    <row r="73" spans="1:18" x14ac:dyDescent="0.3">
      <c r="A73" s="134"/>
      <c r="B73" s="134"/>
      <c r="C73" s="134"/>
      <c r="D73" s="134"/>
      <c r="E73" s="134"/>
      <c r="F73" s="134"/>
      <c r="G73" s="134"/>
      <c r="H73" s="134"/>
      <c r="I73" s="134"/>
      <c r="J73" s="134"/>
      <c r="K73" s="134"/>
      <c r="L73" s="134"/>
      <c r="M73" s="134"/>
      <c r="N73" s="134"/>
      <c r="O73" s="134"/>
      <c r="P73" s="134"/>
      <c r="Q73" s="134"/>
      <c r="R73" s="483"/>
    </row>
    <row r="74" spans="1:18" x14ac:dyDescent="0.3">
      <c r="A74" s="134"/>
      <c r="B74" s="134"/>
      <c r="C74" s="134"/>
      <c r="D74" s="134"/>
      <c r="E74" s="134"/>
      <c r="F74" s="134"/>
      <c r="G74" s="134"/>
      <c r="H74" s="134"/>
      <c r="I74" s="134"/>
      <c r="J74" s="134"/>
      <c r="K74" s="134"/>
      <c r="L74" s="134"/>
      <c r="M74" s="134"/>
      <c r="N74" s="134"/>
      <c r="O74" s="134"/>
      <c r="P74" s="134"/>
      <c r="Q74" s="134"/>
      <c r="R74" s="483"/>
    </row>
    <row r="75" spans="1:18" ht="15.5" x14ac:dyDescent="0.35">
      <c r="A75" s="134"/>
      <c r="B75" s="134"/>
      <c r="C75" s="134"/>
      <c r="D75" s="134"/>
      <c r="E75" s="134"/>
      <c r="F75" s="134"/>
      <c r="G75" s="134"/>
      <c r="H75" s="134"/>
      <c r="I75" s="134"/>
      <c r="J75" s="134"/>
      <c r="K75" s="134"/>
      <c r="L75" s="134"/>
      <c r="M75" s="134"/>
      <c r="N75" s="134"/>
      <c r="O75" s="134"/>
      <c r="P75" s="134"/>
      <c r="Q75" s="134"/>
      <c r="R75" s="486"/>
    </row>
    <row r="76" spans="1:18" x14ac:dyDescent="0.3">
      <c r="A76" s="134"/>
      <c r="B76" s="134"/>
      <c r="C76" s="134"/>
      <c r="D76" s="134"/>
      <c r="E76" s="134"/>
      <c r="F76" s="134"/>
      <c r="G76" s="134"/>
      <c r="H76" s="134"/>
      <c r="I76" s="134"/>
      <c r="J76" s="134"/>
      <c r="K76" s="134"/>
      <c r="L76" s="134"/>
      <c r="M76" s="134"/>
      <c r="N76" s="134"/>
      <c r="O76" s="134"/>
      <c r="P76" s="134"/>
      <c r="Q76" s="134"/>
      <c r="R76" s="483"/>
    </row>
    <row r="77" spans="1:18" x14ac:dyDescent="0.3">
      <c r="A77" s="134"/>
      <c r="B77" s="134"/>
      <c r="C77" s="134"/>
      <c r="D77" s="134"/>
      <c r="E77" s="134"/>
      <c r="F77" s="134"/>
      <c r="G77" s="134"/>
      <c r="H77" s="134"/>
      <c r="I77" s="134"/>
      <c r="J77" s="134"/>
      <c r="K77" s="134"/>
      <c r="L77" s="134"/>
      <c r="M77" s="134"/>
      <c r="N77" s="134"/>
      <c r="O77" s="134"/>
      <c r="P77" s="134"/>
      <c r="Q77" s="134"/>
      <c r="R77" s="483"/>
    </row>
    <row r="78" spans="1:18" x14ac:dyDescent="0.3">
      <c r="A78" s="134"/>
      <c r="B78" s="134"/>
      <c r="C78" s="134"/>
      <c r="D78" s="134"/>
      <c r="E78" s="134"/>
      <c r="F78" s="134"/>
      <c r="G78" s="134"/>
      <c r="H78" s="134"/>
      <c r="I78" s="134"/>
      <c r="J78" s="134"/>
      <c r="K78" s="134"/>
      <c r="L78" s="134"/>
      <c r="M78" s="134"/>
      <c r="N78" s="134"/>
      <c r="O78" s="134"/>
      <c r="P78" s="134"/>
      <c r="Q78" s="134"/>
      <c r="R78" s="483"/>
    </row>
    <row r="79" spans="1:18" x14ac:dyDescent="0.3">
      <c r="A79" s="134"/>
      <c r="B79" s="134"/>
      <c r="C79" s="134"/>
      <c r="D79" s="134"/>
      <c r="E79" s="134"/>
      <c r="F79" s="134"/>
      <c r="G79" s="134"/>
      <c r="H79" s="134"/>
      <c r="I79" s="134"/>
      <c r="J79" s="134"/>
      <c r="K79" s="134"/>
      <c r="L79" s="134"/>
      <c r="M79" s="134"/>
      <c r="N79" s="134"/>
      <c r="O79" s="134"/>
      <c r="P79" s="134"/>
      <c r="Q79" s="134"/>
      <c r="R79" s="483"/>
    </row>
    <row r="80" spans="1:18" x14ac:dyDescent="0.3">
      <c r="A80" s="134"/>
      <c r="B80" s="134"/>
      <c r="C80" s="134"/>
      <c r="D80" s="134"/>
      <c r="E80" s="134"/>
      <c r="F80" s="134"/>
      <c r="G80" s="134"/>
      <c r="H80" s="134"/>
      <c r="I80" s="134"/>
      <c r="J80" s="134"/>
      <c r="K80" s="134"/>
      <c r="L80" s="134"/>
      <c r="M80" s="134"/>
      <c r="N80" s="134"/>
      <c r="O80" s="134"/>
      <c r="P80" s="134"/>
      <c r="Q80" s="134"/>
      <c r="R80" s="483"/>
    </row>
    <row r="81" spans="18:18" x14ac:dyDescent="0.3">
      <c r="R81" s="483"/>
    </row>
    <row r="82" spans="18:18" x14ac:dyDescent="0.3">
      <c r="R82" s="483"/>
    </row>
    <row r="83" spans="18:18" x14ac:dyDescent="0.3">
      <c r="R83" s="483"/>
    </row>
    <row r="84" spans="18:18" x14ac:dyDescent="0.3">
      <c r="R84" s="483"/>
    </row>
    <row r="85" spans="18:18" x14ac:dyDescent="0.3">
      <c r="R85" s="483"/>
    </row>
    <row r="86" spans="18:18" x14ac:dyDescent="0.3">
      <c r="R86" s="483"/>
    </row>
    <row r="87" spans="18:18" x14ac:dyDescent="0.3">
      <c r="R87" s="483"/>
    </row>
    <row r="88" spans="18:18" x14ac:dyDescent="0.3">
      <c r="R88" s="483"/>
    </row>
    <row r="89" spans="18:18" x14ac:dyDescent="0.3">
      <c r="R89" s="483"/>
    </row>
    <row r="90" spans="18:18" x14ac:dyDescent="0.3">
      <c r="R90" s="483"/>
    </row>
    <row r="91" spans="18:18" x14ac:dyDescent="0.3">
      <c r="R91" s="483"/>
    </row>
    <row r="92" spans="18:18" x14ac:dyDescent="0.3">
      <c r="R92" s="483"/>
    </row>
    <row r="93" spans="18:18" x14ac:dyDescent="0.3">
      <c r="R93" s="483"/>
    </row>
    <row r="94" spans="18:18" x14ac:dyDescent="0.3">
      <c r="R94" s="483"/>
    </row>
    <row r="95" spans="18:18" x14ac:dyDescent="0.3">
      <c r="R95" s="483"/>
    </row>
    <row r="96" spans="18:18" x14ac:dyDescent="0.3">
      <c r="R96" s="483"/>
    </row>
    <row r="97" spans="18:18" x14ac:dyDescent="0.3">
      <c r="R97" s="483"/>
    </row>
    <row r="98" spans="18:18" x14ac:dyDescent="0.3">
      <c r="R98" s="483"/>
    </row>
    <row r="99" spans="18:18" x14ac:dyDescent="0.3">
      <c r="R99" s="483"/>
    </row>
    <row r="100" spans="18:18" x14ac:dyDescent="0.3">
      <c r="R100" s="483"/>
    </row>
    <row r="101" spans="18:18" x14ac:dyDescent="0.3">
      <c r="R101" s="483"/>
    </row>
    <row r="102" spans="18:18" x14ac:dyDescent="0.3">
      <c r="R102" s="483"/>
    </row>
    <row r="103" spans="18:18" x14ac:dyDescent="0.3">
      <c r="R103" s="483"/>
    </row>
    <row r="104" spans="18:18" x14ac:dyDescent="0.3">
      <c r="R104" s="483"/>
    </row>
    <row r="105" spans="18:18" x14ac:dyDescent="0.3">
      <c r="R105" s="483"/>
    </row>
    <row r="106" spans="18:18" x14ac:dyDescent="0.3">
      <c r="R106" s="483"/>
    </row>
    <row r="107" spans="18:18" x14ac:dyDescent="0.3">
      <c r="R107" s="54"/>
    </row>
    <row r="108" spans="18:18" x14ac:dyDescent="0.3">
      <c r="R108" s="54"/>
    </row>
    <row r="109" spans="18:18" x14ac:dyDescent="0.3">
      <c r="R109" s="54"/>
    </row>
    <row r="110" spans="18:18" x14ac:dyDescent="0.3">
      <c r="R110" s="54"/>
    </row>
    <row r="111" spans="18:18" x14ac:dyDescent="0.3">
      <c r="R111" s="54"/>
    </row>
    <row r="112" spans="18:18" x14ac:dyDescent="0.3">
      <c r="R112" s="54"/>
    </row>
    <row r="113" spans="18:18" x14ac:dyDescent="0.3">
      <c r="R113" s="54"/>
    </row>
    <row r="114" spans="18:18" x14ac:dyDescent="0.3">
      <c r="R114" s="54"/>
    </row>
    <row r="115" spans="18:18" x14ac:dyDescent="0.3">
      <c r="R115" s="54"/>
    </row>
    <row r="116" spans="18:18" x14ac:dyDescent="0.3">
      <c r="R116" s="54"/>
    </row>
    <row r="117" spans="18:18" x14ac:dyDescent="0.3">
      <c r="R117" s="54"/>
    </row>
    <row r="118" spans="18:18" x14ac:dyDescent="0.3">
      <c r="R118" s="54"/>
    </row>
    <row r="119" spans="18:18" x14ac:dyDescent="0.3">
      <c r="R119" s="54"/>
    </row>
    <row r="120" spans="18:18" x14ac:dyDescent="0.3">
      <c r="R120" s="54"/>
    </row>
    <row r="121" spans="18:18" x14ac:dyDescent="0.3">
      <c r="R121" s="54"/>
    </row>
    <row r="122" spans="18:18" x14ac:dyDescent="0.3">
      <c r="R122" s="54"/>
    </row>
    <row r="123" spans="18:18" x14ac:dyDescent="0.3">
      <c r="R123" s="54"/>
    </row>
    <row r="124" spans="18:18" x14ac:dyDescent="0.3">
      <c r="R124" s="54"/>
    </row>
    <row r="125" spans="18:18" x14ac:dyDescent="0.3">
      <c r="R125" s="54"/>
    </row>
    <row r="126" spans="18:18" x14ac:dyDescent="0.3">
      <c r="R126" s="54"/>
    </row>
    <row r="127" spans="18:18" x14ac:dyDescent="0.3">
      <c r="R127" s="54"/>
    </row>
    <row r="128" spans="18:18" x14ac:dyDescent="0.3">
      <c r="R128" s="54"/>
    </row>
    <row r="129" spans="18:18" x14ac:dyDescent="0.3">
      <c r="R129" s="54"/>
    </row>
    <row r="130" spans="18:18" x14ac:dyDescent="0.3">
      <c r="R130" s="54"/>
    </row>
    <row r="131" spans="18:18" x14ac:dyDescent="0.3">
      <c r="R131" s="54"/>
    </row>
    <row r="132" spans="18:18" x14ac:dyDescent="0.3">
      <c r="R132" s="54"/>
    </row>
    <row r="133" spans="18:18" x14ac:dyDescent="0.3">
      <c r="R133" s="54"/>
    </row>
    <row r="134" spans="18:18" x14ac:dyDescent="0.3">
      <c r="R134" s="54"/>
    </row>
    <row r="135" spans="18:18" x14ac:dyDescent="0.3">
      <c r="R135" s="54"/>
    </row>
    <row r="136" spans="18:18" x14ac:dyDescent="0.3">
      <c r="R136" s="54"/>
    </row>
    <row r="137" spans="18:18" x14ac:dyDescent="0.3">
      <c r="R137" s="54"/>
    </row>
    <row r="138" spans="18:18" x14ac:dyDescent="0.3">
      <c r="R138" s="54"/>
    </row>
    <row r="139" spans="18:18" x14ac:dyDescent="0.3">
      <c r="R139" s="54"/>
    </row>
    <row r="140" spans="18:18" x14ac:dyDescent="0.3">
      <c r="R140" s="54"/>
    </row>
    <row r="141" spans="18:18" x14ac:dyDescent="0.3">
      <c r="R141" s="54"/>
    </row>
    <row r="142" spans="18:18" x14ac:dyDescent="0.3">
      <c r="R142" s="54"/>
    </row>
    <row r="143" spans="18:18" x14ac:dyDescent="0.3">
      <c r="R143" s="54"/>
    </row>
    <row r="144" spans="18:18" x14ac:dyDescent="0.3">
      <c r="R144" s="54"/>
    </row>
    <row r="145" spans="18:18" x14ac:dyDescent="0.3">
      <c r="R145" s="54"/>
    </row>
    <row r="146" spans="18:18" x14ac:dyDescent="0.3">
      <c r="R146" s="54"/>
    </row>
    <row r="147" spans="18:18" x14ac:dyDescent="0.3">
      <c r="R147" s="54"/>
    </row>
    <row r="148" spans="18:18" x14ac:dyDescent="0.3">
      <c r="R148" s="54"/>
    </row>
    <row r="149" spans="18:18" x14ac:dyDescent="0.3">
      <c r="R149" s="54"/>
    </row>
    <row r="150" spans="18:18" x14ac:dyDescent="0.3">
      <c r="R150" s="54"/>
    </row>
    <row r="151" spans="18:18" x14ac:dyDescent="0.3">
      <c r="R151" s="54"/>
    </row>
    <row r="152" spans="18:18" x14ac:dyDescent="0.3">
      <c r="R152" s="54"/>
    </row>
    <row r="153" spans="18:18" x14ac:dyDescent="0.3">
      <c r="R153" s="54"/>
    </row>
    <row r="154" spans="18:18" x14ac:dyDescent="0.3">
      <c r="R154" s="54"/>
    </row>
    <row r="155" spans="18:18" x14ac:dyDescent="0.3">
      <c r="R155" s="54"/>
    </row>
    <row r="156" spans="18:18" x14ac:dyDescent="0.3">
      <c r="R156" s="54"/>
    </row>
    <row r="157" spans="18:18" x14ac:dyDescent="0.3">
      <c r="R157" s="54"/>
    </row>
    <row r="158" spans="18:18" x14ac:dyDescent="0.3">
      <c r="R158" s="54"/>
    </row>
    <row r="159" spans="18:18" x14ac:dyDescent="0.3">
      <c r="R159" s="54"/>
    </row>
    <row r="160" spans="18:18" x14ac:dyDescent="0.3">
      <c r="R160" s="54"/>
    </row>
    <row r="161" spans="18:18" x14ac:dyDescent="0.3">
      <c r="R161" s="54"/>
    </row>
    <row r="162" spans="18:18" x14ac:dyDescent="0.3">
      <c r="R162" s="54"/>
    </row>
    <row r="163" spans="18:18" x14ac:dyDescent="0.3">
      <c r="R163" s="54"/>
    </row>
    <row r="164" spans="18:18" x14ac:dyDescent="0.3">
      <c r="R164" s="54"/>
    </row>
    <row r="165" spans="18:18" x14ac:dyDescent="0.3">
      <c r="R165" s="54"/>
    </row>
    <row r="166" spans="18:18" x14ac:dyDescent="0.3">
      <c r="R166" s="54"/>
    </row>
    <row r="167" spans="18:18" x14ac:dyDescent="0.3">
      <c r="R167" s="54"/>
    </row>
    <row r="168" spans="18:18" x14ac:dyDescent="0.3">
      <c r="R168" s="54"/>
    </row>
    <row r="169" spans="18:18" x14ac:dyDescent="0.3">
      <c r="R169" s="54"/>
    </row>
    <row r="170" spans="18:18" x14ac:dyDescent="0.3">
      <c r="R170" s="54"/>
    </row>
    <row r="171" spans="18:18" x14ac:dyDescent="0.3">
      <c r="R171" s="54"/>
    </row>
    <row r="172" spans="18:18" x14ac:dyDescent="0.3">
      <c r="R172" s="54"/>
    </row>
    <row r="173" spans="18:18" x14ac:dyDescent="0.3">
      <c r="R173" s="54"/>
    </row>
    <row r="174" spans="18:18" x14ac:dyDescent="0.3">
      <c r="R174" s="54"/>
    </row>
    <row r="175" spans="18:18" x14ac:dyDescent="0.3">
      <c r="R175" s="54"/>
    </row>
    <row r="176" spans="18:18" x14ac:dyDescent="0.3">
      <c r="R176" s="54"/>
    </row>
    <row r="177" spans="18:18" x14ac:dyDescent="0.3">
      <c r="R177" s="54"/>
    </row>
    <row r="178" spans="18:18" x14ac:dyDescent="0.3">
      <c r="R178" s="54"/>
    </row>
    <row r="179" spans="18:18" x14ac:dyDescent="0.3">
      <c r="R179" s="54"/>
    </row>
    <row r="180" spans="18:18" x14ac:dyDescent="0.3">
      <c r="R180" s="54"/>
    </row>
    <row r="181" spans="18:18" x14ac:dyDescent="0.3">
      <c r="R181" s="54"/>
    </row>
    <row r="182" spans="18:18" x14ac:dyDescent="0.3">
      <c r="R182" s="54"/>
    </row>
    <row r="183" spans="18:18" x14ac:dyDescent="0.3">
      <c r="R183" s="54"/>
    </row>
    <row r="184" spans="18:18" x14ac:dyDescent="0.3">
      <c r="R184" s="54"/>
    </row>
    <row r="185" spans="18:18" x14ac:dyDescent="0.3">
      <c r="R185" s="54"/>
    </row>
    <row r="186" spans="18:18" x14ac:dyDescent="0.3">
      <c r="R186" s="54"/>
    </row>
    <row r="187" spans="18:18" x14ac:dyDescent="0.3">
      <c r="R187" s="54"/>
    </row>
    <row r="188" spans="18:18" x14ac:dyDescent="0.3">
      <c r="R188" s="54"/>
    </row>
    <row r="189" spans="18:18" x14ac:dyDescent="0.3">
      <c r="R189" s="54"/>
    </row>
    <row r="190" spans="18:18" x14ac:dyDescent="0.3">
      <c r="R190" s="54"/>
    </row>
    <row r="191" spans="18:18" x14ac:dyDescent="0.3">
      <c r="R191" s="54"/>
    </row>
    <row r="192" spans="18:18" x14ac:dyDescent="0.3">
      <c r="R192" s="54"/>
    </row>
    <row r="193" spans="18:18" x14ac:dyDescent="0.3">
      <c r="R193" s="54"/>
    </row>
    <row r="194" spans="18:18" x14ac:dyDescent="0.3">
      <c r="R194" s="54"/>
    </row>
    <row r="195" spans="18:18" x14ac:dyDescent="0.3">
      <c r="R195" s="54"/>
    </row>
    <row r="196" spans="18:18" x14ac:dyDescent="0.3">
      <c r="R196" s="54"/>
    </row>
    <row r="197" spans="18:18" x14ac:dyDescent="0.3">
      <c r="R197" s="54"/>
    </row>
    <row r="198" spans="18:18" x14ac:dyDescent="0.3">
      <c r="R198" s="54"/>
    </row>
    <row r="199" spans="18:18" x14ac:dyDescent="0.3">
      <c r="R199" s="54"/>
    </row>
    <row r="200" spans="18:18" x14ac:dyDescent="0.3">
      <c r="R200" s="54"/>
    </row>
    <row r="201" spans="18:18" x14ac:dyDescent="0.3">
      <c r="R201" s="54"/>
    </row>
    <row r="202" spans="18:18" x14ac:dyDescent="0.3">
      <c r="R202" s="54"/>
    </row>
    <row r="203" spans="18:18" x14ac:dyDescent="0.3">
      <c r="R203" s="54"/>
    </row>
    <row r="204" spans="18:18" x14ac:dyDescent="0.3">
      <c r="R204" s="54"/>
    </row>
    <row r="205" spans="18:18" x14ac:dyDescent="0.3">
      <c r="R205" s="54"/>
    </row>
    <row r="206" spans="18:18" x14ac:dyDescent="0.3">
      <c r="R206" s="54"/>
    </row>
    <row r="207" spans="18:18" x14ac:dyDescent="0.3">
      <c r="R207" s="54"/>
    </row>
    <row r="208" spans="18:18" x14ac:dyDescent="0.3">
      <c r="R208" s="54"/>
    </row>
    <row r="209" spans="18:18" x14ac:dyDescent="0.3">
      <c r="R209" s="54"/>
    </row>
    <row r="210" spans="18:18" x14ac:dyDescent="0.3">
      <c r="R210" s="54"/>
    </row>
    <row r="211" spans="18:18" x14ac:dyDescent="0.3">
      <c r="R211" s="54"/>
    </row>
    <row r="212" spans="18:18" x14ac:dyDescent="0.3">
      <c r="R212" s="54"/>
    </row>
    <row r="213" spans="18:18" x14ac:dyDescent="0.3">
      <c r="R213" s="54"/>
    </row>
    <row r="214" spans="18:18" x14ac:dyDescent="0.3">
      <c r="R214" s="54"/>
    </row>
    <row r="215" spans="18:18" x14ac:dyDescent="0.3">
      <c r="R215" s="54"/>
    </row>
    <row r="216" spans="18:18" x14ac:dyDescent="0.3">
      <c r="R216" s="54"/>
    </row>
    <row r="217" spans="18:18" x14ac:dyDescent="0.3">
      <c r="R217" s="54"/>
    </row>
    <row r="218" spans="18:18" x14ac:dyDescent="0.3">
      <c r="R218" s="54"/>
    </row>
    <row r="219" spans="18:18" x14ac:dyDescent="0.3">
      <c r="R219" s="54"/>
    </row>
    <row r="220" spans="18:18" x14ac:dyDescent="0.3">
      <c r="R220" s="54"/>
    </row>
    <row r="221" spans="18:18" x14ac:dyDescent="0.3">
      <c r="R221" s="54"/>
    </row>
    <row r="222" spans="18:18" x14ac:dyDescent="0.3">
      <c r="R222" s="54"/>
    </row>
    <row r="223" spans="18:18" x14ac:dyDescent="0.3">
      <c r="R223" s="54"/>
    </row>
    <row r="224" spans="18:18" x14ac:dyDescent="0.3">
      <c r="R224" s="54"/>
    </row>
    <row r="225" spans="18:18" x14ac:dyDescent="0.3">
      <c r="R225" s="54"/>
    </row>
    <row r="226" spans="18:18" x14ac:dyDescent="0.3">
      <c r="R226" s="54"/>
    </row>
    <row r="227" spans="18:18" x14ac:dyDescent="0.3">
      <c r="R227" s="54"/>
    </row>
    <row r="228" spans="18:18" x14ac:dyDescent="0.3">
      <c r="R228" s="54"/>
    </row>
    <row r="229" spans="18:18" x14ac:dyDescent="0.3">
      <c r="R229" s="54"/>
    </row>
    <row r="230" spans="18:18" x14ac:dyDescent="0.3">
      <c r="R230" s="54"/>
    </row>
    <row r="231" spans="18:18" x14ac:dyDescent="0.3">
      <c r="R231" s="54"/>
    </row>
    <row r="232" spans="18:18" x14ac:dyDescent="0.3">
      <c r="R232" s="54"/>
    </row>
    <row r="233" spans="18:18" x14ac:dyDescent="0.3">
      <c r="R233" s="54"/>
    </row>
    <row r="234" spans="18:18" x14ac:dyDescent="0.3">
      <c r="R234" s="54"/>
    </row>
    <row r="235" spans="18:18" x14ac:dyDescent="0.3">
      <c r="R235" s="54"/>
    </row>
    <row r="236" spans="18:18" x14ac:dyDescent="0.3">
      <c r="R236" s="54"/>
    </row>
    <row r="237" spans="18:18" x14ac:dyDescent="0.3">
      <c r="R237" s="54"/>
    </row>
    <row r="238" spans="18:18" x14ac:dyDescent="0.3">
      <c r="R238" s="54"/>
    </row>
    <row r="239" spans="18:18" x14ac:dyDescent="0.3">
      <c r="R239" s="54"/>
    </row>
    <row r="240" spans="18:18" x14ac:dyDescent="0.3">
      <c r="R240" s="54"/>
    </row>
    <row r="241" spans="18:18" x14ac:dyDescent="0.3">
      <c r="R241" s="54"/>
    </row>
    <row r="242" spans="18:18" x14ac:dyDescent="0.3">
      <c r="R242" s="54"/>
    </row>
    <row r="243" spans="18:18" x14ac:dyDescent="0.3">
      <c r="R243" s="54"/>
    </row>
    <row r="244" spans="18:18" x14ac:dyDescent="0.3">
      <c r="R244" s="54"/>
    </row>
    <row r="245" spans="18:18" x14ac:dyDescent="0.3">
      <c r="R245" s="54"/>
    </row>
    <row r="246" spans="18:18" x14ac:dyDescent="0.3">
      <c r="R246" s="54"/>
    </row>
    <row r="247" spans="18:18" x14ac:dyDescent="0.3">
      <c r="R247" s="54"/>
    </row>
    <row r="248" spans="18:18" x14ac:dyDescent="0.3">
      <c r="R248" s="54"/>
    </row>
    <row r="249" spans="18:18" x14ac:dyDescent="0.3">
      <c r="R249" s="54"/>
    </row>
    <row r="250" spans="18:18" x14ac:dyDescent="0.3">
      <c r="R250" s="54"/>
    </row>
    <row r="251" spans="18:18" x14ac:dyDescent="0.3">
      <c r="R251" s="54"/>
    </row>
    <row r="252" spans="18:18" x14ac:dyDescent="0.3">
      <c r="R252" s="54"/>
    </row>
    <row r="253" spans="18:18" x14ac:dyDescent="0.3">
      <c r="R253" s="54"/>
    </row>
    <row r="254" spans="18:18" x14ac:dyDescent="0.3">
      <c r="R254" s="54"/>
    </row>
    <row r="255" spans="18:18" x14ac:dyDescent="0.3">
      <c r="R255" s="54"/>
    </row>
    <row r="256" spans="18:18" x14ac:dyDescent="0.3">
      <c r="R256" s="54"/>
    </row>
    <row r="257" spans="18:18" x14ac:dyDescent="0.3">
      <c r="R257" s="54"/>
    </row>
    <row r="258" spans="18:18" x14ac:dyDescent="0.3">
      <c r="R258" s="54"/>
    </row>
    <row r="259" spans="18:18" x14ac:dyDescent="0.3">
      <c r="R259" s="54"/>
    </row>
    <row r="260" spans="18:18" x14ac:dyDescent="0.3">
      <c r="R260" s="54"/>
    </row>
    <row r="261" spans="18:18" x14ac:dyDescent="0.3">
      <c r="R261" s="54"/>
    </row>
    <row r="262" spans="18:18" x14ac:dyDescent="0.3">
      <c r="R262" s="54"/>
    </row>
    <row r="263" spans="18:18" x14ac:dyDescent="0.3">
      <c r="R263" s="54"/>
    </row>
    <row r="264" spans="18:18" x14ac:dyDescent="0.3">
      <c r="R264" s="54"/>
    </row>
    <row r="265" spans="18:18" x14ac:dyDescent="0.3">
      <c r="R265" s="54"/>
    </row>
    <row r="266" spans="18:18" x14ac:dyDescent="0.3">
      <c r="R266" s="54"/>
    </row>
    <row r="267" spans="18:18" x14ac:dyDescent="0.3">
      <c r="R267" s="54"/>
    </row>
    <row r="268" spans="18:18" x14ac:dyDescent="0.3">
      <c r="R268" s="54"/>
    </row>
    <row r="269" spans="18:18" x14ac:dyDescent="0.3">
      <c r="R269" s="54"/>
    </row>
    <row r="270" spans="18:18" x14ac:dyDescent="0.3">
      <c r="R270" s="54"/>
    </row>
    <row r="271" spans="18:18" x14ac:dyDescent="0.3">
      <c r="R271" s="54"/>
    </row>
    <row r="272" spans="18:18" x14ac:dyDescent="0.3">
      <c r="R272" s="54"/>
    </row>
    <row r="273" spans="18:18" x14ac:dyDescent="0.3">
      <c r="R273" s="54"/>
    </row>
    <row r="274" spans="18:18" x14ac:dyDescent="0.3">
      <c r="R274" s="54"/>
    </row>
    <row r="275" spans="18:18" x14ac:dyDescent="0.3">
      <c r="R275" s="54"/>
    </row>
    <row r="276" spans="18:18" x14ac:dyDescent="0.3">
      <c r="R276" s="54"/>
    </row>
    <row r="277" spans="18:18" x14ac:dyDescent="0.3">
      <c r="R277" s="54"/>
    </row>
    <row r="278" spans="18:18" x14ac:dyDescent="0.3">
      <c r="R278" s="54"/>
    </row>
    <row r="279" spans="18:18" x14ac:dyDescent="0.3">
      <c r="R279" s="54"/>
    </row>
    <row r="280" spans="18:18" x14ac:dyDescent="0.3">
      <c r="R280" s="54"/>
    </row>
    <row r="281" spans="18:18" x14ac:dyDescent="0.3">
      <c r="R281" s="54"/>
    </row>
    <row r="282" spans="18:18" x14ac:dyDescent="0.3">
      <c r="R282" s="54"/>
    </row>
    <row r="283" spans="18:18" x14ac:dyDescent="0.3">
      <c r="R283" s="54"/>
    </row>
    <row r="284" spans="18:18" x14ac:dyDescent="0.3">
      <c r="R284" s="54"/>
    </row>
    <row r="285" spans="18:18" x14ac:dyDescent="0.3">
      <c r="R285" s="54"/>
    </row>
    <row r="286" spans="18:18" x14ac:dyDescent="0.3">
      <c r="R286" s="54"/>
    </row>
    <row r="287" spans="18:18" x14ac:dyDescent="0.3">
      <c r="R287" s="54"/>
    </row>
    <row r="288" spans="18:18" x14ac:dyDescent="0.3">
      <c r="R288" s="54"/>
    </row>
    <row r="289" spans="18:18" x14ac:dyDescent="0.3">
      <c r="R289" s="54"/>
    </row>
    <row r="290" spans="18:18" x14ac:dyDescent="0.3">
      <c r="R290" s="54"/>
    </row>
    <row r="291" spans="18:18" x14ac:dyDescent="0.3">
      <c r="R291" s="54"/>
    </row>
    <row r="292" spans="18:18" x14ac:dyDescent="0.3">
      <c r="R292" s="54"/>
    </row>
    <row r="293" spans="18:18" x14ac:dyDescent="0.3">
      <c r="R293" s="54"/>
    </row>
    <row r="294" spans="18:18" x14ac:dyDescent="0.3">
      <c r="R294" s="54"/>
    </row>
    <row r="295" spans="18:18" x14ac:dyDescent="0.3">
      <c r="R295" s="54"/>
    </row>
    <row r="296" spans="18:18" x14ac:dyDescent="0.3">
      <c r="R296" s="54"/>
    </row>
    <row r="297" spans="18:18" x14ac:dyDescent="0.3">
      <c r="R297" s="54"/>
    </row>
    <row r="298" spans="18:18" x14ac:dyDescent="0.3">
      <c r="R298" s="54"/>
    </row>
    <row r="299" spans="18:18" x14ac:dyDescent="0.3">
      <c r="R299" s="54"/>
    </row>
    <row r="300" spans="18:18" x14ac:dyDescent="0.3">
      <c r="R300" s="54"/>
    </row>
    <row r="301" spans="18:18" x14ac:dyDescent="0.3">
      <c r="R301" s="54"/>
    </row>
    <row r="302" spans="18:18" x14ac:dyDescent="0.3">
      <c r="R302" s="54"/>
    </row>
    <row r="303" spans="18:18" x14ac:dyDescent="0.3">
      <c r="R303" s="54"/>
    </row>
    <row r="304" spans="18:18" x14ac:dyDescent="0.3">
      <c r="R304" s="54"/>
    </row>
    <row r="305" spans="18:18" x14ac:dyDescent="0.3">
      <c r="R305" s="54"/>
    </row>
    <row r="306" spans="18:18" x14ac:dyDescent="0.3">
      <c r="R306" s="54"/>
    </row>
    <row r="307" spans="18:18" x14ac:dyDescent="0.3">
      <c r="R307" s="54"/>
    </row>
    <row r="308" spans="18:18" x14ac:dyDescent="0.3">
      <c r="R308" s="54"/>
    </row>
    <row r="309" spans="18:18" x14ac:dyDescent="0.3">
      <c r="R309" s="54"/>
    </row>
    <row r="310" spans="18:18" x14ac:dyDescent="0.3">
      <c r="R310" s="54"/>
    </row>
    <row r="311" spans="18:18" x14ac:dyDescent="0.3">
      <c r="R311" s="54"/>
    </row>
    <row r="312" spans="18:18" x14ac:dyDescent="0.3">
      <c r="R312" s="54"/>
    </row>
    <row r="313" spans="18:18" x14ac:dyDescent="0.3">
      <c r="R313" s="54"/>
    </row>
    <row r="314" spans="18:18" x14ac:dyDescent="0.3">
      <c r="R314" s="54"/>
    </row>
    <row r="315" spans="18:18" x14ac:dyDescent="0.3">
      <c r="R315" s="54"/>
    </row>
    <row r="316" spans="18:18" x14ac:dyDescent="0.3">
      <c r="R316" s="54"/>
    </row>
    <row r="317" spans="18:18" x14ac:dyDescent="0.3">
      <c r="R317" s="54"/>
    </row>
    <row r="318" spans="18:18" x14ac:dyDescent="0.3">
      <c r="R318" s="54"/>
    </row>
    <row r="319" spans="18:18" x14ac:dyDescent="0.3">
      <c r="R319" s="54"/>
    </row>
    <row r="320" spans="18:18" x14ac:dyDescent="0.3">
      <c r="R320" s="54"/>
    </row>
    <row r="321" spans="18:18" x14ac:dyDescent="0.3">
      <c r="R321" s="54"/>
    </row>
    <row r="322" spans="18:18" x14ac:dyDescent="0.3">
      <c r="R322" s="54"/>
    </row>
    <row r="323" spans="18:18" x14ac:dyDescent="0.3">
      <c r="R323" s="54"/>
    </row>
    <row r="324" spans="18:18" x14ac:dyDescent="0.3">
      <c r="R324" s="54"/>
    </row>
    <row r="325" spans="18:18" x14ac:dyDescent="0.3">
      <c r="R325" s="54"/>
    </row>
    <row r="326" spans="18:18" x14ac:dyDescent="0.3">
      <c r="R326" s="54"/>
    </row>
    <row r="327" spans="18:18" x14ac:dyDescent="0.3">
      <c r="R327" s="54"/>
    </row>
    <row r="328" spans="18:18" x14ac:dyDescent="0.3">
      <c r="R328" s="54"/>
    </row>
    <row r="329" spans="18:18" x14ac:dyDescent="0.3">
      <c r="R329" s="54"/>
    </row>
    <row r="330" spans="18:18" x14ac:dyDescent="0.3">
      <c r="R330" s="54"/>
    </row>
    <row r="331" spans="18:18" x14ac:dyDescent="0.3">
      <c r="R331" s="54"/>
    </row>
    <row r="332" spans="18:18" x14ac:dyDescent="0.3">
      <c r="R332" s="54"/>
    </row>
    <row r="333" spans="18:18" x14ac:dyDescent="0.3">
      <c r="R333" s="54"/>
    </row>
    <row r="334" spans="18:18" x14ac:dyDescent="0.3">
      <c r="R334" s="54"/>
    </row>
    <row r="335" spans="18:18" x14ac:dyDescent="0.3">
      <c r="R335" s="54"/>
    </row>
    <row r="336" spans="18:18" x14ac:dyDescent="0.3">
      <c r="R336" s="54"/>
    </row>
    <row r="337" spans="18:18" x14ac:dyDescent="0.3">
      <c r="R337" s="54"/>
    </row>
    <row r="338" spans="18:18" x14ac:dyDescent="0.3">
      <c r="R338" s="54"/>
    </row>
    <row r="339" spans="18:18" x14ac:dyDescent="0.3">
      <c r="R339" s="54"/>
    </row>
    <row r="340" spans="18:18" x14ac:dyDescent="0.3">
      <c r="R340" s="54"/>
    </row>
    <row r="341" spans="18:18" x14ac:dyDescent="0.3">
      <c r="R341" s="54"/>
    </row>
    <row r="342" spans="18:18" x14ac:dyDescent="0.3">
      <c r="R342" s="54"/>
    </row>
    <row r="343" spans="18:18" x14ac:dyDescent="0.3">
      <c r="R343" s="54"/>
    </row>
    <row r="344" spans="18:18" x14ac:dyDescent="0.3">
      <c r="R344" s="54"/>
    </row>
    <row r="345" spans="18:18" x14ac:dyDescent="0.3">
      <c r="R345" s="54"/>
    </row>
    <row r="346" spans="18:18" x14ac:dyDescent="0.3">
      <c r="R346" s="54"/>
    </row>
    <row r="347" spans="18:18" x14ac:dyDescent="0.3">
      <c r="R347" s="54"/>
    </row>
    <row r="348" spans="18:18" x14ac:dyDescent="0.3">
      <c r="R348" s="54"/>
    </row>
    <row r="349" spans="18:18" x14ac:dyDescent="0.3">
      <c r="R349" s="54"/>
    </row>
    <row r="350" spans="18:18" x14ac:dyDescent="0.3">
      <c r="R350" s="54"/>
    </row>
    <row r="351" spans="18:18" x14ac:dyDescent="0.3">
      <c r="R351" s="54"/>
    </row>
    <row r="352" spans="18:18" x14ac:dyDescent="0.3">
      <c r="R352" s="54"/>
    </row>
    <row r="353" spans="18:18" x14ac:dyDescent="0.3">
      <c r="R353" s="54"/>
    </row>
    <row r="354" spans="18:18" x14ac:dyDescent="0.3">
      <c r="R354" s="54"/>
    </row>
    <row r="355" spans="18:18" x14ac:dyDescent="0.3">
      <c r="R355" s="54"/>
    </row>
    <row r="356" spans="18:18" x14ac:dyDescent="0.3">
      <c r="R356" s="54"/>
    </row>
    <row r="357" spans="18:18" x14ac:dyDescent="0.3">
      <c r="R357" s="54"/>
    </row>
    <row r="358" spans="18:18" x14ac:dyDescent="0.3">
      <c r="R358" s="54"/>
    </row>
    <row r="359" spans="18:18" x14ac:dyDescent="0.3">
      <c r="R359" s="54"/>
    </row>
    <row r="360" spans="18:18" x14ac:dyDescent="0.3">
      <c r="R360" s="54"/>
    </row>
    <row r="361" spans="18:18" x14ac:dyDescent="0.3">
      <c r="R361" s="54"/>
    </row>
    <row r="362" spans="18:18" x14ac:dyDescent="0.3">
      <c r="R362" s="54"/>
    </row>
    <row r="363" spans="18:18" x14ac:dyDescent="0.3">
      <c r="R363" s="54"/>
    </row>
    <row r="364" spans="18:18" x14ac:dyDescent="0.3">
      <c r="R364" s="54"/>
    </row>
    <row r="365" spans="18:18" x14ac:dyDescent="0.3">
      <c r="R365" s="54"/>
    </row>
    <row r="366" spans="18:18" x14ac:dyDescent="0.3">
      <c r="R366" s="54"/>
    </row>
    <row r="367" spans="18:18" x14ac:dyDescent="0.3">
      <c r="R367" s="54"/>
    </row>
    <row r="368" spans="18:18" x14ac:dyDescent="0.3">
      <c r="R368" s="54"/>
    </row>
    <row r="369" spans="18:18" x14ac:dyDescent="0.3">
      <c r="R369" s="54"/>
    </row>
    <row r="370" spans="18:18" x14ac:dyDescent="0.3">
      <c r="R370" s="54"/>
    </row>
    <row r="371" spans="18:18" x14ac:dyDescent="0.3">
      <c r="R371" s="54"/>
    </row>
    <row r="372" spans="18:18" x14ac:dyDescent="0.3">
      <c r="R372" s="54"/>
    </row>
    <row r="373" spans="18:18" x14ac:dyDescent="0.3">
      <c r="R373" s="54"/>
    </row>
    <row r="374" spans="18:18" x14ac:dyDescent="0.3">
      <c r="R374" s="54"/>
    </row>
    <row r="375" spans="18:18" x14ac:dyDescent="0.3">
      <c r="R375" s="54"/>
    </row>
    <row r="376" spans="18:18" x14ac:dyDescent="0.3">
      <c r="R376" s="54"/>
    </row>
    <row r="377" spans="18:18" x14ac:dyDescent="0.3">
      <c r="R377" s="54"/>
    </row>
    <row r="378" spans="18:18" x14ac:dyDescent="0.3">
      <c r="R378" s="54"/>
    </row>
    <row r="379" spans="18:18" x14ac:dyDescent="0.3">
      <c r="R379" s="54"/>
    </row>
    <row r="380" spans="18:18" x14ac:dyDescent="0.3">
      <c r="R380" s="54"/>
    </row>
    <row r="381" spans="18:18" x14ac:dyDescent="0.3">
      <c r="R381" s="54"/>
    </row>
    <row r="382" spans="18:18" x14ac:dyDescent="0.3">
      <c r="R382" s="54"/>
    </row>
    <row r="383" spans="18:18" x14ac:dyDescent="0.3">
      <c r="R383" s="54"/>
    </row>
    <row r="384" spans="18:18" x14ac:dyDescent="0.3">
      <c r="R384" s="54"/>
    </row>
    <row r="385" spans="18:18" x14ac:dyDescent="0.3">
      <c r="R385" s="54"/>
    </row>
    <row r="386" spans="18:18" x14ac:dyDescent="0.3">
      <c r="R386" s="54"/>
    </row>
    <row r="387" spans="18:18" x14ac:dyDescent="0.3">
      <c r="R387" s="54"/>
    </row>
    <row r="388" spans="18:18" x14ac:dyDescent="0.3">
      <c r="R388" s="54"/>
    </row>
    <row r="389" spans="18:18" x14ac:dyDescent="0.3">
      <c r="R389" s="54"/>
    </row>
    <row r="390" spans="18:18" x14ac:dyDescent="0.3">
      <c r="R390" s="54"/>
    </row>
    <row r="391" spans="18:18" x14ac:dyDescent="0.3">
      <c r="R391" s="54"/>
    </row>
    <row r="392" spans="18:18" x14ac:dyDescent="0.3">
      <c r="R392" s="54"/>
    </row>
    <row r="393" spans="18:18" x14ac:dyDescent="0.3">
      <c r="R393" s="54"/>
    </row>
    <row r="394" spans="18:18" x14ac:dyDescent="0.3">
      <c r="R394" s="54"/>
    </row>
    <row r="395" spans="18:18" x14ac:dyDescent="0.3">
      <c r="R395" s="54"/>
    </row>
    <row r="396" spans="18:18" x14ac:dyDescent="0.3">
      <c r="R396" s="54"/>
    </row>
    <row r="397" spans="18:18" x14ac:dyDescent="0.3">
      <c r="R397" s="54"/>
    </row>
    <row r="398" spans="18:18" x14ac:dyDescent="0.3">
      <c r="R398" s="54"/>
    </row>
    <row r="399" spans="18:18" x14ac:dyDescent="0.3">
      <c r="R399" s="54"/>
    </row>
    <row r="400" spans="18:18" x14ac:dyDescent="0.3">
      <c r="R400" s="54"/>
    </row>
    <row r="401" spans="18:18" x14ac:dyDescent="0.3">
      <c r="R401" s="54"/>
    </row>
    <row r="402" spans="18:18" x14ac:dyDescent="0.3">
      <c r="R402" s="54"/>
    </row>
    <row r="403" spans="18:18" x14ac:dyDescent="0.3">
      <c r="R403" s="54"/>
    </row>
    <row r="404" spans="18:18" x14ac:dyDescent="0.3">
      <c r="R404" s="54"/>
    </row>
    <row r="405" spans="18:18" x14ac:dyDescent="0.3">
      <c r="R405" s="54"/>
    </row>
    <row r="406" spans="18:18" x14ac:dyDescent="0.3">
      <c r="R406" s="54"/>
    </row>
    <row r="407" spans="18:18" x14ac:dyDescent="0.3">
      <c r="R407" s="54"/>
    </row>
    <row r="408" spans="18:18" x14ac:dyDescent="0.3">
      <c r="R408" s="54"/>
    </row>
    <row r="409" spans="18:18" x14ac:dyDescent="0.3">
      <c r="R409" s="54"/>
    </row>
    <row r="410" spans="18:18" x14ac:dyDescent="0.3">
      <c r="R410" s="54"/>
    </row>
    <row r="411" spans="18:18" x14ac:dyDescent="0.3">
      <c r="R411" s="54"/>
    </row>
    <row r="412" spans="18:18" x14ac:dyDescent="0.3">
      <c r="R412" s="54"/>
    </row>
    <row r="413" spans="18:18" x14ac:dyDescent="0.3">
      <c r="R413" s="54"/>
    </row>
    <row r="414" spans="18:18" x14ac:dyDescent="0.3">
      <c r="R414" s="54"/>
    </row>
    <row r="415" spans="18:18" x14ac:dyDescent="0.3">
      <c r="R415" s="54"/>
    </row>
    <row r="416" spans="18:18" x14ac:dyDescent="0.3">
      <c r="R416" s="54"/>
    </row>
    <row r="417" spans="18:18" x14ac:dyDescent="0.3">
      <c r="R417" s="54"/>
    </row>
    <row r="418" spans="18:18" x14ac:dyDescent="0.3">
      <c r="R418" s="54"/>
    </row>
    <row r="419" spans="18:18" x14ac:dyDescent="0.3">
      <c r="R419" s="54"/>
    </row>
    <row r="420" spans="18:18" x14ac:dyDescent="0.3">
      <c r="R420" s="54"/>
    </row>
    <row r="421" spans="18:18" x14ac:dyDescent="0.3">
      <c r="R421" s="54"/>
    </row>
    <row r="422" spans="18:18" x14ac:dyDescent="0.3">
      <c r="R422" s="54"/>
    </row>
    <row r="423" spans="18:18" x14ac:dyDescent="0.3">
      <c r="R423" s="54"/>
    </row>
    <row r="424" spans="18:18" x14ac:dyDescent="0.3">
      <c r="R424" s="54"/>
    </row>
    <row r="425" spans="18:18" x14ac:dyDescent="0.3">
      <c r="R425" s="54"/>
    </row>
    <row r="426" spans="18:18" x14ac:dyDescent="0.3">
      <c r="R426" s="54"/>
    </row>
    <row r="427" spans="18:18" x14ac:dyDescent="0.3">
      <c r="R427" s="54"/>
    </row>
    <row r="428" spans="18:18" x14ac:dyDescent="0.3">
      <c r="R428" s="54"/>
    </row>
    <row r="429" spans="18:18" x14ac:dyDescent="0.3">
      <c r="R429" s="54"/>
    </row>
    <row r="430" spans="18:18" x14ac:dyDescent="0.3">
      <c r="R430" s="54"/>
    </row>
    <row r="431" spans="18:18" x14ac:dyDescent="0.3">
      <c r="R431" s="54"/>
    </row>
    <row r="432" spans="18:18" x14ac:dyDescent="0.3">
      <c r="R432" s="54"/>
    </row>
    <row r="433" spans="18:18" x14ac:dyDescent="0.3">
      <c r="R433" s="54"/>
    </row>
    <row r="434" spans="18:18" x14ac:dyDescent="0.3">
      <c r="R434" s="54"/>
    </row>
    <row r="435" spans="18:18" x14ac:dyDescent="0.3">
      <c r="R435" s="54"/>
    </row>
    <row r="436" spans="18:18" x14ac:dyDescent="0.3">
      <c r="R436" s="54"/>
    </row>
    <row r="437" spans="18:18" x14ac:dyDescent="0.3">
      <c r="R437" s="54"/>
    </row>
    <row r="438" spans="18:18" x14ac:dyDescent="0.3">
      <c r="R438" s="54"/>
    </row>
    <row r="439" spans="18:18" x14ac:dyDescent="0.3">
      <c r="R439" s="54"/>
    </row>
    <row r="440" spans="18:18" x14ac:dyDescent="0.3">
      <c r="R440" s="54"/>
    </row>
    <row r="441" spans="18:18" x14ac:dyDescent="0.3">
      <c r="R441" s="54"/>
    </row>
    <row r="442" spans="18:18" x14ac:dyDescent="0.3">
      <c r="R442" s="54"/>
    </row>
    <row r="443" spans="18:18" x14ac:dyDescent="0.3">
      <c r="R443" s="54"/>
    </row>
    <row r="444" spans="18:18" x14ac:dyDescent="0.3">
      <c r="R444" s="54"/>
    </row>
    <row r="445" spans="18:18" x14ac:dyDescent="0.3">
      <c r="R445" s="54"/>
    </row>
    <row r="446" spans="18:18" x14ac:dyDescent="0.3">
      <c r="R446" s="54"/>
    </row>
    <row r="447" spans="18:18" x14ac:dyDescent="0.3">
      <c r="R447" s="54"/>
    </row>
    <row r="448" spans="18:18" x14ac:dyDescent="0.3">
      <c r="R448" s="54"/>
    </row>
    <row r="449" spans="18:18" x14ac:dyDescent="0.3">
      <c r="R449" s="54"/>
    </row>
    <row r="450" spans="18:18" x14ac:dyDescent="0.3">
      <c r="R450" s="54"/>
    </row>
    <row r="451" spans="18:18" x14ac:dyDescent="0.3">
      <c r="R451" s="54"/>
    </row>
    <row r="452" spans="18:18" x14ac:dyDescent="0.3">
      <c r="R452" s="54"/>
    </row>
  </sheetData>
  <mergeCells count="2">
    <mergeCell ref="A1:Q1"/>
    <mergeCell ref="O3:P3"/>
  </mergeCells>
  <conditionalFormatting sqref="B8:D11 F12:H14">
    <cfRule type="expression" dxfId="6" priority="6" stopIfTrue="1">
      <formula>INFILTER_TYPE=1</formula>
    </cfRule>
  </conditionalFormatting>
  <conditionalFormatting sqref="A5:Q7 E9:F11 I8:Q14 A15:Q80 A8:A11 A12:E14">
    <cfRule type="expression" dxfId="5" priority="5">
      <formula>MODE=2</formula>
    </cfRule>
  </conditionalFormatting>
  <conditionalFormatting sqref="G8:G11">
    <cfRule type="expression" dxfId="4" priority="4" stopIfTrue="1">
      <formula>INFILTER_TYPE=1</formula>
    </cfRule>
  </conditionalFormatting>
  <conditionalFormatting sqref="F8">
    <cfRule type="expression" dxfId="3" priority="3" stopIfTrue="1">
      <formula>INFILTER_TYPE=1</formula>
    </cfRule>
  </conditionalFormatting>
  <conditionalFormatting sqref="E8">
    <cfRule type="expression" dxfId="2" priority="2">
      <formula>MODE=2</formula>
    </cfRule>
  </conditionalFormatting>
  <conditionalFormatting sqref="H8:H11">
    <cfRule type="expression" dxfId="1" priority="1" stopIfTrue="1">
      <formula>INFILTER_TYPE=1</formula>
    </cfRule>
  </conditionalFormatting>
  <hyperlinks>
    <hyperlink ref="O2" r:id="rId1" xr:uid="{00000000-0004-0000-0200-000000000000}"/>
    <hyperlink ref="C3" r:id="rId2" xr:uid="{00000000-0004-0000-0200-000001000000}"/>
  </hyperlinks>
  <pageMargins left="0.7" right="0.7" top="0.75" bottom="0.75" header="0.3" footer="0.3"/>
  <pageSetup orientation="portrait" r:id="rId3"/>
  <drawing r:id="rId4"/>
  <legacy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M61"/>
  <sheetViews>
    <sheetView zoomScaleNormal="100" workbookViewId="0">
      <selection activeCell="A37" sqref="A37"/>
    </sheetView>
  </sheetViews>
  <sheetFormatPr defaultRowHeight="12.5" x14ac:dyDescent="0.25"/>
  <cols>
    <col min="1" max="1" width="9.54296875" style="211" customWidth="1"/>
    <col min="2" max="2" width="20.36328125" style="211" customWidth="1"/>
    <col min="3" max="3" width="16.08984375" style="211" customWidth="1"/>
    <col min="4" max="4" width="20.08984375" style="211" customWidth="1"/>
    <col min="5" max="5" width="17.36328125" style="211" customWidth="1"/>
    <col min="6" max="6" width="20.54296875" style="211" bestFit="1" customWidth="1"/>
    <col min="7" max="7" width="9.6328125" style="211" customWidth="1"/>
    <col min="8" max="8" width="16.08984375" style="211" customWidth="1"/>
    <col min="9" max="9" width="17" style="211" customWidth="1"/>
    <col min="10" max="10" width="14.453125" style="211" customWidth="1"/>
    <col min="11" max="11" width="26.453125" style="211" customWidth="1"/>
    <col min="12" max="12" width="9.08984375" style="211"/>
    <col min="13" max="13" width="9.08984375" style="212"/>
    <col min="14" max="256" width="9.08984375" style="211"/>
    <col min="257" max="257" width="8.6328125" style="211" bestFit="1" customWidth="1"/>
    <col min="258" max="258" width="13.36328125" style="211" customWidth="1"/>
    <col min="259" max="259" width="16.08984375" style="211" bestFit="1" customWidth="1"/>
    <col min="260" max="260" width="23.54296875" style="211" customWidth="1"/>
    <col min="261" max="261" width="17.36328125" style="211" customWidth="1"/>
    <col min="262" max="262" width="20.54296875" style="211" bestFit="1" customWidth="1"/>
    <col min="263" max="263" width="17.08984375" style="211" customWidth="1"/>
    <col min="264" max="264" width="21.6328125" style="211" bestFit="1" customWidth="1"/>
    <col min="265" max="265" width="17.08984375" style="211" bestFit="1" customWidth="1"/>
    <col min="266" max="266" width="18.08984375" style="211" bestFit="1" customWidth="1"/>
    <col min="267" max="267" width="26.453125" style="211" customWidth="1"/>
    <col min="268" max="512" width="9.08984375" style="211"/>
    <col min="513" max="513" width="8.6328125" style="211" bestFit="1" customWidth="1"/>
    <col min="514" max="514" width="13.36328125" style="211" customWidth="1"/>
    <col min="515" max="515" width="16.08984375" style="211" bestFit="1" customWidth="1"/>
    <col min="516" max="516" width="23.54296875" style="211" customWidth="1"/>
    <col min="517" max="517" width="17.36328125" style="211" customWidth="1"/>
    <col min="518" max="518" width="20.54296875" style="211" bestFit="1" customWidth="1"/>
    <col min="519" max="519" width="17.08984375" style="211" customWidth="1"/>
    <col min="520" max="520" width="21.6328125" style="211" bestFit="1" customWidth="1"/>
    <col min="521" max="521" width="17.08984375" style="211" bestFit="1" customWidth="1"/>
    <col min="522" max="522" width="18.08984375" style="211" bestFit="1" customWidth="1"/>
    <col min="523" max="523" width="26.453125" style="211" customWidth="1"/>
    <col min="524" max="768" width="9.08984375" style="211"/>
    <col min="769" max="769" width="8.6328125" style="211" bestFit="1" customWidth="1"/>
    <col min="770" max="770" width="13.36328125" style="211" customWidth="1"/>
    <col min="771" max="771" width="16.08984375" style="211" bestFit="1" customWidth="1"/>
    <col min="772" max="772" width="23.54296875" style="211" customWidth="1"/>
    <col min="773" max="773" width="17.36328125" style="211" customWidth="1"/>
    <col min="774" max="774" width="20.54296875" style="211" bestFit="1" customWidth="1"/>
    <col min="775" max="775" width="17.08984375" style="211" customWidth="1"/>
    <col min="776" max="776" width="21.6328125" style="211" bestFit="1" customWidth="1"/>
    <col min="777" max="777" width="17.08984375" style="211" bestFit="1" customWidth="1"/>
    <col min="778" max="778" width="18.08984375" style="211" bestFit="1" customWidth="1"/>
    <col min="779" max="779" width="26.453125" style="211" customWidth="1"/>
    <col min="780" max="1024" width="9.08984375" style="211"/>
    <col min="1025" max="1025" width="8.6328125" style="211" bestFit="1" customWidth="1"/>
    <col min="1026" max="1026" width="13.36328125" style="211" customWidth="1"/>
    <col min="1027" max="1027" width="16.08984375" style="211" bestFit="1" customWidth="1"/>
    <col min="1028" max="1028" width="23.54296875" style="211" customWidth="1"/>
    <col min="1029" max="1029" width="17.36328125" style="211" customWidth="1"/>
    <col min="1030" max="1030" width="20.54296875" style="211" bestFit="1" customWidth="1"/>
    <col min="1031" max="1031" width="17.08984375" style="211" customWidth="1"/>
    <col min="1032" max="1032" width="21.6328125" style="211" bestFit="1" customWidth="1"/>
    <col min="1033" max="1033" width="17.08984375" style="211" bestFit="1" customWidth="1"/>
    <col min="1034" max="1034" width="18.08984375" style="211" bestFit="1" customWidth="1"/>
    <col min="1035" max="1035" width="26.453125" style="211" customWidth="1"/>
    <col min="1036" max="1280" width="9.08984375" style="211"/>
    <col min="1281" max="1281" width="8.6328125" style="211" bestFit="1" customWidth="1"/>
    <col min="1282" max="1282" width="13.36328125" style="211" customWidth="1"/>
    <col min="1283" max="1283" width="16.08984375" style="211" bestFit="1" customWidth="1"/>
    <col min="1284" max="1284" width="23.54296875" style="211" customWidth="1"/>
    <col min="1285" max="1285" width="17.36328125" style="211" customWidth="1"/>
    <col min="1286" max="1286" width="20.54296875" style="211" bestFit="1" customWidth="1"/>
    <col min="1287" max="1287" width="17.08984375" style="211" customWidth="1"/>
    <col min="1288" max="1288" width="21.6328125" style="211" bestFit="1" customWidth="1"/>
    <col min="1289" max="1289" width="17.08984375" style="211" bestFit="1" customWidth="1"/>
    <col min="1290" max="1290" width="18.08984375" style="211" bestFit="1" customWidth="1"/>
    <col min="1291" max="1291" width="26.453125" style="211" customWidth="1"/>
    <col min="1292" max="1536" width="9.08984375" style="211"/>
    <col min="1537" max="1537" width="8.6328125" style="211" bestFit="1" customWidth="1"/>
    <col min="1538" max="1538" width="13.36328125" style="211" customWidth="1"/>
    <col min="1539" max="1539" width="16.08984375" style="211" bestFit="1" customWidth="1"/>
    <col min="1540" max="1540" width="23.54296875" style="211" customWidth="1"/>
    <col min="1541" max="1541" width="17.36328125" style="211" customWidth="1"/>
    <col min="1542" max="1542" width="20.54296875" style="211" bestFit="1" customWidth="1"/>
    <col min="1543" max="1543" width="17.08984375" style="211" customWidth="1"/>
    <col min="1544" max="1544" width="21.6328125" style="211" bestFit="1" customWidth="1"/>
    <col min="1545" max="1545" width="17.08984375" style="211" bestFit="1" customWidth="1"/>
    <col min="1546" max="1546" width="18.08984375" style="211" bestFit="1" customWidth="1"/>
    <col min="1547" max="1547" width="26.453125" style="211" customWidth="1"/>
    <col min="1548" max="1792" width="9.08984375" style="211"/>
    <col min="1793" max="1793" width="8.6328125" style="211" bestFit="1" customWidth="1"/>
    <col min="1794" max="1794" width="13.36328125" style="211" customWidth="1"/>
    <col min="1795" max="1795" width="16.08984375" style="211" bestFit="1" customWidth="1"/>
    <col min="1796" max="1796" width="23.54296875" style="211" customWidth="1"/>
    <col min="1797" max="1797" width="17.36328125" style="211" customWidth="1"/>
    <col min="1798" max="1798" width="20.54296875" style="211" bestFit="1" customWidth="1"/>
    <col min="1799" max="1799" width="17.08984375" style="211" customWidth="1"/>
    <col min="1800" max="1800" width="21.6328125" style="211" bestFit="1" customWidth="1"/>
    <col min="1801" max="1801" width="17.08984375" style="211" bestFit="1" customWidth="1"/>
    <col min="1802" max="1802" width="18.08984375" style="211" bestFit="1" customWidth="1"/>
    <col min="1803" max="1803" width="26.453125" style="211" customWidth="1"/>
    <col min="1804" max="2048" width="9.08984375" style="211"/>
    <col min="2049" max="2049" width="8.6328125" style="211" bestFit="1" customWidth="1"/>
    <col min="2050" max="2050" width="13.36328125" style="211" customWidth="1"/>
    <col min="2051" max="2051" width="16.08984375" style="211" bestFit="1" customWidth="1"/>
    <col min="2052" max="2052" width="23.54296875" style="211" customWidth="1"/>
    <col min="2053" max="2053" width="17.36328125" style="211" customWidth="1"/>
    <col min="2054" max="2054" width="20.54296875" style="211" bestFit="1" customWidth="1"/>
    <col min="2055" max="2055" width="17.08984375" style="211" customWidth="1"/>
    <col min="2056" max="2056" width="21.6328125" style="211" bestFit="1" customWidth="1"/>
    <col min="2057" max="2057" width="17.08984375" style="211" bestFit="1" customWidth="1"/>
    <col min="2058" max="2058" width="18.08984375" style="211" bestFit="1" customWidth="1"/>
    <col min="2059" max="2059" width="26.453125" style="211" customWidth="1"/>
    <col min="2060" max="2304" width="9.08984375" style="211"/>
    <col min="2305" max="2305" width="8.6328125" style="211" bestFit="1" customWidth="1"/>
    <col min="2306" max="2306" width="13.36328125" style="211" customWidth="1"/>
    <col min="2307" max="2307" width="16.08984375" style="211" bestFit="1" customWidth="1"/>
    <col min="2308" max="2308" width="23.54296875" style="211" customWidth="1"/>
    <col min="2309" max="2309" width="17.36328125" style="211" customWidth="1"/>
    <col min="2310" max="2310" width="20.54296875" style="211" bestFit="1" customWidth="1"/>
    <col min="2311" max="2311" width="17.08984375" style="211" customWidth="1"/>
    <col min="2312" max="2312" width="21.6328125" style="211" bestFit="1" customWidth="1"/>
    <col min="2313" max="2313" width="17.08984375" style="211" bestFit="1" customWidth="1"/>
    <col min="2314" max="2314" width="18.08984375" style="211" bestFit="1" customWidth="1"/>
    <col min="2315" max="2315" width="26.453125" style="211" customWidth="1"/>
    <col min="2316" max="2560" width="9.08984375" style="211"/>
    <col min="2561" max="2561" width="8.6328125" style="211" bestFit="1" customWidth="1"/>
    <col min="2562" max="2562" width="13.36328125" style="211" customWidth="1"/>
    <col min="2563" max="2563" width="16.08984375" style="211" bestFit="1" customWidth="1"/>
    <col min="2564" max="2564" width="23.54296875" style="211" customWidth="1"/>
    <col min="2565" max="2565" width="17.36328125" style="211" customWidth="1"/>
    <col min="2566" max="2566" width="20.54296875" style="211" bestFit="1" customWidth="1"/>
    <col min="2567" max="2567" width="17.08984375" style="211" customWidth="1"/>
    <col min="2568" max="2568" width="21.6328125" style="211" bestFit="1" customWidth="1"/>
    <col min="2569" max="2569" width="17.08984375" style="211" bestFit="1" customWidth="1"/>
    <col min="2570" max="2570" width="18.08984375" style="211" bestFit="1" customWidth="1"/>
    <col min="2571" max="2571" width="26.453125" style="211" customWidth="1"/>
    <col min="2572" max="2816" width="9.08984375" style="211"/>
    <col min="2817" max="2817" width="8.6328125" style="211" bestFit="1" customWidth="1"/>
    <col min="2818" max="2818" width="13.36328125" style="211" customWidth="1"/>
    <col min="2819" max="2819" width="16.08984375" style="211" bestFit="1" customWidth="1"/>
    <col min="2820" max="2820" width="23.54296875" style="211" customWidth="1"/>
    <col min="2821" max="2821" width="17.36328125" style="211" customWidth="1"/>
    <col min="2822" max="2822" width="20.54296875" style="211" bestFit="1" customWidth="1"/>
    <col min="2823" max="2823" width="17.08984375" style="211" customWidth="1"/>
    <col min="2824" max="2824" width="21.6328125" style="211" bestFit="1" customWidth="1"/>
    <col min="2825" max="2825" width="17.08984375" style="211" bestFit="1" customWidth="1"/>
    <col min="2826" max="2826" width="18.08984375" style="211" bestFit="1" customWidth="1"/>
    <col min="2827" max="2827" width="26.453125" style="211" customWidth="1"/>
    <col min="2828" max="3072" width="9.08984375" style="211"/>
    <col min="3073" max="3073" width="8.6328125" style="211" bestFit="1" customWidth="1"/>
    <col min="3074" max="3074" width="13.36328125" style="211" customWidth="1"/>
    <col min="3075" max="3075" width="16.08984375" style="211" bestFit="1" customWidth="1"/>
    <col min="3076" max="3076" width="23.54296875" style="211" customWidth="1"/>
    <col min="3077" max="3077" width="17.36328125" style="211" customWidth="1"/>
    <col min="3078" max="3078" width="20.54296875" style="211" bestFit="1" customWidth="1"/>
    <col min="3079" max="3079" width="17.08984375" style="211" customWidth="1"/>
    <col min="3080" max="3080" width="21.6328125" style="211" bestFit="1" customWidth="1"/>
    <col min="3081" max="3081" width="17.08984375" style="211" bestFit="1" customWidth="1"/>
    <col min="3082" max="3082" width="18.08984375" style="211" bestFit="1" customWidth="1"/>
    <col min="3083" max="3083" width="26.453125" style="211" customWidth="1"/>
    <col min="3084" max="3328" width="9.08984375" style="211"/>
    <col min="3329" max="3329" width="8.6328125" style="211" bestFit="1" customWidth="1"/>
    <col min="3330" max="3330" width="13.36328125" style="211" customWidth="1"/>
    <col min="3331" max="3331" width="16.08984375" style="211" bestFit="1" customWidth="1"/>
    <col min="3332" max="3332" width="23.54296875" style="211" customWidth="1"/>
    <col min="3333" max="3333" width="17.36328125" style="211" customWidth="1"/>
    <col min="3334" max="3334" width="20.54296875" style="211" bestFit="1" customWidth="1"/>
    <col min="3335" max="3335" width="17.08984375" style="211" customWidth="1"/>
    <col min="3336" max="3336" width="21.6328125" style="211" bestFit="1" customWidth="1"/>
    <col min="3337" max="3337" width="17.08984375" style="211" bestFit="1" customWidth="1"/>
    <col min="3338" max="3338" width="18.08984375" style="211" bestFit="1" customWidth="1"/>
    <col min="3339" max="3339" width="26.453125" style="211" customWidth="1"/>
    <col min="3340" max="3584" width="9.08984375" style="211"/>
    <col min="3585" max="3585" width="8.6328125" style="211" bestFit="1" customWidth="1"/>
    <col min="3586" max="3586" width="13.36328125" style="211" customWidth="1"/>
    <col min="3587" max="3587" width="16.08984375" style="211" bestFit="1" customWidth="1"/>
    <col min="3588" max="3588" width="23.54296875" style="211" customWidth="1"/>
    <col min="3589" max="3589" width="17.36328125" style="211" customWidth="1"/>
    <col min="3590" max="3590" width="20.54296875" style="211" bestFit="1" customWidth="1"/>
    <col min="3591" max="3591" width="17.08984375" style="211" customWidth="1"/>
    <col min="3592" max="3592" width="21.6328125" style="211" bestFit="1" customWidth="1"/>
    <col min="3593" max="3593" width="17.08984375" style="211" bestFit="1" customWidth="1"/>
    <col min="3594" max="3594" width="18.08984375" style="211" bestFit="1" customWidth="1"/>
    <col min="3595" max="3595" width="26.453125" style="211" customWidth="1"/>
    <col min="3596" max="3840" width="9.08984375" style="211"/>
    <col min="3841" max="3841" width="8.6328125" style="211" bestFit="1" customWidth="1"/>
    <col min="3842" max="3842" width="13.36328125" style="211" customWidth="1"/>
    <col min="3843" max="3843" width="16.08984375" style="211" bestFit="1" customWidth="1"/>
    <col min="3844" max="3844" width="23.54296875" style="211" customWidth="1"/>
    <col min="3845" max="3845" width="17.36328125" style="211" customWidth="1"/>
    <col min="3846" max="3846" width="20.54296875" style="211" bestFit="1" customWidth="1"/>
    <col min="3847" max="3847" width="17.08984375" style="211" customWidth="1"/>
    <col min="3848" max="3848" width="21.6328125" style="211" bestFit="1" customWidth="1"/>
    <col min="3849" max="3849" width="17.08984375" style="211" bestFit="1" customWidth="1"/>
    <col min="3850" max="3850" width="18.08984375" style="211" bestFit="1" customWidth="1"/>
    <col min="3851" max="3851" width="26.453125" style="211" customWidth="1"/>
    <col min="3852" max="4096" width="9.08984375" style="211"/>
    <col min="4097" max="4097" width="8.6328125" style="211" bestFit="1" customWidth="1"/>
    <col min="4098" max="4098" width="13.36328125" style="211" customWidth="1"/>
    <col min="4099" max="4099" width="16.08984375" style="211" bestFit="1" customWidth="1"/>
    <col min="4100" max="4100" width="23.54296875" style="211" customWidth="1"/>
    <col min="4101" max="4101" width="17.36328125" style="211" customWidth="1"/>
    <col min="4102" max="4102" width="20.54296875" style="211" bestFit="1" customWidth="1"/>
    <col min="4103" max="4103" width="17.08984375" style="211" customWidth="1"/>
    <col min="4104" max="4104" width="21.6328125" style="211" bestFit="1" customWidth="1"/>
    <col min="4105" max="4105" width="17.08984375" style="211" bestFit="1" customWidth="1"/>
    <col min="4106" max="4106" width="18.08984375" style="211" bestFit="1" customWidth="1"/>
    <col min="4107" max="4107" width="26.453125" style="211" customWidth="1"/>
    <col min="4108" max="4352" width="9.08984375" style="211"/>
    <col min="4353" max="4353" width="8.6328125" style="211" bestFit="1" customWidth="1"/>
    <col min="4354" max="4354" width="13.36328125" style="211" customWidth="1"/>
    <col min="4355" max="4355" width="16.08984375" style="211" bestFit="1" customWidth="1"/>
    <col min="4356" max="4356" width="23.54296875" style="211" customWidth="1"/>
    <col min="4357" max="4357" width="17.36328125" style="211" customWidth="1"/>
    <col min="4358" max="4358" width="20.54296875" style="211" bestFit="1" customWidth="1"/>
    <col min="4359" max="4359" width="17.08984375" style="211" customWidth="1"/>
    <col min="4360" max="4360" width="21.6328125" style="211" bestFit="1" customWidth="1"/>
    <col min="4361" max="4361" width="17.08984375" style="211" bestFit="1" customWidth="1"/>
    <col min="4362" max="4362" width="18.08984375" style="211" bestFit="1" customWidth="1"/>
    <col min="4363" max="4363" width="26.453125" style="211" customWidth="1"/>
    <col min="4364" max="4608" width="9.08984375" style="211"/>
    <col min="4609" max="4609" width="8.6328125" style="211" bestFit="1" customWidth="1"/>
    <col min="4610" max="4610" width="13.36328125" style="211" customWidth="1"/>
    <col min="4611" max="4611" width="16.08984375" style="211" bestFit="1" customWidth="1"/>
    <col min="4612" max="4612" width="23.54296875" style="211" customWidth="1"/>
    <col min="4613" max="4613" width="17.36328125" style="211" customWidth="1"/>
    <col min="4614" max="4614" width="20.54296875" style="211" bestFit="1" customWidth="1"/>
    <col min="4615" max="4615" width="17.08984375" style="211" customWidth="1"/>
    <col min="4616" max="4616" width="21.6328125" style="211" bestFit="1" customWidth="1"/>
    <col min="4617" max="4617" width="17.08984375" style="211" bestFit="1" customWidth="1"/>
    <col min="4618" max="4618" width="18.08984375" style="211" bestFit="1" customWidth="1"/>
    <col min="4619" max="4619" width="26.453125" style="211" customWidth="1"/>
    <col min="4620" max="4864" width="9.08984375" style="211"/>
    <col min="4865" max="4865" width="8.6328125" style="211" bestFit="1" customWidth="1"/>
    <col min="4866" max="4866" width="13.36328125" style="211" customWidth="1"/>
    <col min="4867" max="4867" width="16.08984375" style="211" bestFit="1" customWidth="1"/>
    <col min="4868" max="4868" width="23.54296875" style="211" customWidth="1"/>
    <col min="4869" max="4869" width="17.36328125" style="211" customWidth="1"/>
    <col min="4870" max="4870" width="20.54296875" style="211" bestFit="1" customWidth="1"/>
    <col min="4871" max="4871" width="17.08984375" style="211" customWidth="1"/>
    <col min="4872" max="4872" width="21.6328125" style="211" bestFit="1" customWidth="1"/>
    <col min="4873" max="4873" width="17.08984375" style="211" bestFit="1" customWidth="1"/>
    <col min="4874" max="4874" width="18.08984375" style="211" bestFit="1" customWidth="1"/>
    <col min="4875" max="4875" width="26.453125" style="211" customWidth="1"/>
    <col min="4876" max="5120" width="9.08984375" style="211"/>
    <col min="5121" max="5121" width="8.6328125" style="211" bestFit="1" customWidth="1"/>
    <col min="5122" max="5122" width="13.36328125" style="211" customWidth="1"/>
    <col min="5123" max="5123" width="16.08984375" style="211" bestFit="1" customWidth="1"/>
    <col min="5124" max="5124" width="23.54296875" style="211" customWidth="1"/>
    <col min="5125" max="5125" width="17.36328125" style="211" customWidth="1"/>
    <col min="5126" max="5126" width="20.54296875" style="211" bestFit="1" customWidth="1"/>
    <col min="5127" max="5127" width="17.08984375" style="211" customWidth="1"/>
    <col min="5128" max="5128" width="21.6328125" style="211" bestFit="1" customWidth="1"/>
    <col min="5129" max="5129" width="17.08984375" style="211" bestFit="1" customWidth="1"/>
    <col min="5130" max="5130" width="18.08984375" style="211" bestFit="1" customWidth="1"/>
    <col min="5131" max="5131" width="26.453125" style="211" customWidth="1"/>
    <col min="5132" max="5376" width="9.08984375" style="211"/>
    <col min="5377" max="5377" width="8.6328125" style="211" bestFit="1" customWidth="1"/>
    <col min="5378" max="5378" width="13.36328125" style="211" customWidth="1"/>
    <col min="5379" max="5379" width="16.08984375" style="211" bestFit="1" customWidth="1"/>
    <col min="5380" max="5380" width="23.54296875" style="211" customWidth="1"/>
    <col min="5381" max="5381" width="17.36328125" style="211" customWidth="1"/>
    <col min="5382" max="5382" width="20.54296875" style="211" bestFit="1" customWidth="1"/>
    <col min="5383" max="5383" width="17.08984375" style="211" customWidth="1"/>
    <col min="5384" max="5384" width="21.6328125" style="211" bestFit="1" customWidth="1"/>
    <col min="5385" max="5385" width="17.08984375" style="211" bestFit="1" customWidth="1"/>
    <col min="5386" max="5386" width="18.08984375" style="211" bestFit="1" customWidth="1"/>
    <col min="5387" max="5387" width="26.453125" style="211" customWidth="1"/>
    <col min="5388" max="5632" width="9.08984375" style="211"/>
    <col min="5633" max="5633" width="8.6328125" style="211" bestFit="1" customWidth="1"/>
    <col min="5634" max="5634" width="13.36328125" style="211" customWidth="1"/>
    <col min="5635" max="5635" width="16.08984375" style="211" bestFit="1" customWidth="1"/>
    <col min="5636" max="5636" width="23.54296875" style="211" customWidth="1"/>
    <col min="5637" max="5637" width="17.36328125" style="211" customWidth="1"/>
    <col min="5638" max="5638" width="20.54296875" style="211" bestFit="1" customWidth="1"/>
    <col min="5639" max="5639" width="17.08984375" style="211" customWidth="1"/>
    <col min="5640" max="5640" width="21.6328125" style="211" bestFit="1" customWidth="1"/>
    <col min="5641" max="5641" width="17.08984375" style="211" bestFit="1" customWidth="1"/>
    <col min="5642" max="5642" width="18.08984375" style="211" bestFit="1" customWidth="1"/>
    <col min="5643" max="5643" width="26.453125" style="211" customWidth="1"/>
    <col min="5644" max="5888" width="9.08984375" style="211"/>
    <col min="5889" max="5889" width="8.6328125" style="211" bestFit="1" customWidth="1"/>
    <col min="5890" max="5890" width="13.36328125" style="211" customWidth="1"/>
    <col min="5891" max="5891" width="16.08984375" style="211" bestFit="1" customWidth="1"/>
    <col min="5892" max="5892" width="23.54296875" style="211" customWidth="1"/>
    <col min="5893" max="5893" width="17.36328125" style="211" customWidth="1"/>
    <col min="5894" max="5894" width="20.54296875" style="211" bestFit="1" customWidth="1"/>
    <col min="5895" max="5895" width="17.08984375" style="211" customWidth="1"/>
    <col min="5896" max="5896" width="21.6328125" style="211" bestFit="1" customWidth="1"/>
    <col min="5897" max="5897" width="17.08984375" style="211" bestFit="1" customWidth="1"/>
    <col min="5898" max="5898" width="18.08984375" style="211" bestFit="1" customWidth="1"/>
    <col min="5899" max="5899" width="26.453125" style="211" customWidth="1"/>
    <col min="5900" max="6144" width="9.08984375" style="211"/>
    <col min="6145" max="6145" width="8.6328125" style="211" bestFit="1" customWidth="1"/>
    <col min="6146" max="6146" width="13.36328125" style="211" customWidth="1"/>
    <col min="6147" max="6147" width="16.08984375" style="211" bestFit="1" customWidth="1"/>
    <col min="6148" max="6148" width="23.54296875" style="211" customWidth="1"/>
    <col min="6149" max="6149" width="17.36328125" style="211" customWidth="1"/>
    <col min="6150" max="6150" width="20.54296875" style="211" bestFit="1" customWidth="1"/>
    <col min="6151" max="6151" width="17.08984375" style="211" customWidth="1"/>
    <col min="6152" max="6152" width="21.6328125" style="211" bestFit="1" customWidth="1"/>
    <col min="6153" max="6153" width="17.08984375" style="211" bestFit="1" customWidth="1"/>
    <col min="6154" max="6154" width="18.08984375" style="211" bestFit="1" customWidth="1"/>
    <col min="6155" max="6155" width="26.453125" style="211" customWidth="1"/>
    <col min="6156" max="6400" width="9.08984375" style="211"/>
    <col min="6401" max="6401" width="8.6328125" style="211" bestFit="1" customWidth="1"/>
    <col min="6402" max="6402" width="13.36328125" style="211" customWidth="1"/>
    <col min="6403" max="6403" width="16.08984375" style="211" bestFit="1" customWidth="1"/>
    <col min="6404" max="6404" width="23.54296875" style="211" customWidth="1"/>
    <col min="6405" max="6405" width="17.36328125" style="211" customWidth="1"/>
    <col min="6406" max="6406" width="20.54296875" style="211" bestFit="1" customWidth="1"/>
    <col min="6407" max="6407" width="17.08984375" style="211" customWidth="1"/>
    <col min="6408" max="6408" width="21.6328125" style="211" bestFit="1" customWidth="1"/>
    <col min="6409" max="6409" width="17.08984375" style="211" bestFit="1" customWidth="1"/>
    <col min="6410" max="6410" width="18.08984375" style="211" bestFit="1" customWidth="1"/>
    <col min="6411" max="6411" width="26.453125" style="211" customWidth="1"/>
    <col min="6412" max="6656" width="9.08984375" style="211"/>
    <col min="6657" max="6657" width="8.6328125" style="211" bestFit="1" customWidth="1"/>
    <col min="6658" max="6658" width="13.36328125" style="211" customWidth="1"/>
    <col min="6659" max="6659" width="16.08984375" style="211" bestFit="1" customWidth="1"/>
    <col min="6660" max="6660" width="23.54296875" style="211" customWidth="1"/>
    <col min="6661" max="6661" width="17.36328125" style="211" customWidth="1"/>
    <col min="6662" max="6662" width="20.54296875" style="211" bestFit="1" customWidth="1"/>
    <col min="6663" max="6663" width="17.08984375" style="211" customWidth="1"/>
    <col min="6664" max="6664" width="21.6328125" style="211" bestFit="1" customWidth="1"/>
    <col min="6665" max="6665" width="17.08984375" style="211" bestFit="1" customWidth="1"/>
    <col min="6666" max="6666" width="18.08984375" style="211" bestFit="1" customWidth="1"/>
    <col min="6667" max="6667" width="26.453125" style="211" customWidth="1"/>
    <col min="6668" max="6912" width="9.08984375" style="211"/>
    <col min="6913" max="6913" width="8.6328125" style="211" bestFit="1" customWidth="1"/>
    <col min="6914" max="6914" width="13.36328125" style="211" customWidth="1"/>
    <col min="6915" max="6915" width="16.08984375" style="211" bestFit="1" customWidth="1"/>
    <col min="6916" max="6916" width="23.54296875" style="211" customWidth="1"/>
    <col min="6917" max="6917" width="17.36328125" style="211" customWidth="1"/>
    <col min="6918" max="6918" width="20.54296875" style="211" bestFit="1" customWidth="1"/>
    <col min="6919" max="6919" width="17.08984375" style="211" customWidth="1"/>
    <col min="6920" max="6920" width="21.6328125" style="211" bestFit="1" customWidth="1"/>
    <col min="6921" max="6921" width="17.08984375" style="211" bestFit="1" customWidth="1"/>
    <col min="6922" max="6922" width="18.08984375" style="211" bestFit="1" customWidth="1"/>
    <col min="6923" max="6923" width="26.453125" style="211" customWidth="1"/>
    <col min="6924" max="7168" width="9.08984375" style="211"/>
    <col min="7169" max="7169" width="8.6328125" style="211" bestFit="1" customWidth="1"/>
    <col min="7170" max="7170" width="13.36328125" style="211" customWidth="1"/>
    <col min="7171" max="7171" width="16.08984375" style="211" bestFit="1" customWidth="1"/>
    <col min="7172" max="7172" width="23.54296875" style="211" customWidth="1"/>
    <col min="7173" max="7173" width="17.36328125" style="211" customWidth="1"/>
    <col min="7174" max="7174" width="20.54296875" style="211" bestFit="1" customWidth="1"/>
    <col min="7175" max="7175" width="17.08984375" style="211" customWidth="1"/>
    <col min="7176" max="7176" width="21.6328125" style="211" bestFit="1" customWidth="1"/>
    <col min="7177" max="7177" width="17.08984375" style="211" bestFit="1" customWidth="1"/>
    <col min="7178" max="7178" width="18.08984375" style="211" bestFit="1" customWidth="1"/>
    <col min="7179" max="7179" width="26.453125" style="211" customWidth="1"/>
    <col min="7180" max="7424" width="9.08984375" style="211"/>
    <col min="7425" max="7425" width="8.6328125" style="211" bestFit="1" customWidth="1"/>
    <col min="7426" max="7426" width="13.36328125" style="211" customWidth="1"/>
    <col min="7427" max="7427" width="16.08984375" style="211" bestFit="1" customWidth="1"/>
    <col min="7428" max="7428" width="23.54296875" style="211" customWidth="1"/>
    <col min="7429" max="7429" width="17.36328125" style="211" customWidth="1"/>
    <col min="7430" max="7430" width="20.54296875" style="211" bestFit="1" customWidth="1"/>
    <col min="7431" max="7431" width="17.08984375" style="211" customWidth="1"/>
    <col min="7432" max="7432" width="21.6328125" style="211" bestFit="1" customWidth="1"/>
    <col min="7433" max="7433" width="17.08984375" style="211" bestFit="1" customWidth="1"/>
    <col min="7434" max="7434" width="18.08984375" style="211" bestFit="1" customWidth="1"/>
    <col min="7435" max="7435" width="26.453125" style="211" customWidth="1"/>
    <col min="7436" max="7680" width="9.08984375" style="211"/>
    <col min="7681" max="7681" width="8.6328125" style="211" bestFit="1" customWidth="1"/>
    <col min="7682" max="7682" width="13.36328125" style="211" customWidth="1"/>
    <col min="7683" max="7683" width="16.08984375" style="211" bestFit="1" customWidth="1"/>
    <col min="7684" max="7684" width="23.54296875" style="211" customWidth="1"/>
    <col min="7685" max="7685" width="17.36328125" style="211" customWidth="1"/>
    <col min="7686" max="7686" width="20.54296875" style="211" bestFit="1" customWidth="1"/>
    <col min="7687" max="7687" width="17.08984375" style="211" customWidth="1"/>
    <col min="7688" max="7688" width="21.6328125" style="211" bestFit="1" customWidth="1"/>
    <col min="7689" max="7689" width="17.08984375" style="211" bestFit="1" customWidth="1"/>
    <col min="7690" max="7690" width="18.08984375" style="211" bestFit="1" customWidth="1"/>
    <col min="7691" max="7691" width="26.453125" style="211" customWidth="1"/>
    <col min="7692" max="7936" width="9.08984375" style="211"/>
    <col min="7937" max="7937" width="8.6328125" style="211" bestFit="1" customWidth="1"/>
    <col min="7938" max="7938" width="13.36328125" style="211" customWidth="1"/>
    <col min="7939" max="7939" width="16.08984375" style="211" bestFit="1" customWidth="1"/>
    <col min="7940" max="7940" width="23.54296875" style="211" customWidth="1"/>
    <col min="7941" max="7941" width="17.36328125" style="211" customWidth="1"/>
    <col min="7942" max="7942" width="20.54296875" style="211" bestFit="1" customWidth="1"/>
    <col min="7943" max="7943" width="17.08984375" style="211" customWidth="1"/>
    <col min="7944" max="7944" width="21.6328125" style="211" bestFit="1" customWidth="1"/>
    <col min="7945" max="7945" width="17.08984375" style="211" bestFit="1" customWidth="1"/>
    <col min="7946" max="7946" width="18.08984375" style="211" bestFit="1" customWidth="1"/>
    <col min="7947" max="7947" width="26.453125" style="211" customWidth="1"/>
    <col min="7948" max="8192" width="9.08984375" style="211"/>
    <col min="8193" max="8193" width="8.6328125" style="211" bestFit="1" customWidth="1"/>
    <col min="8194" max="8194" width="13.36328125" style="211" customWidth="1"/>
    <col min="8195" max="8195" width="16.08984375" style="211" bestFit="1" customWidth="1"/>
    <col min="8196" max="8196" width="23.54296875" style="211" customWidth="1"/>
    <col min="8197" max="8197" width="17.36328125" style="211" customWidth="1"/>
    <col min="8198" max="8198" width="20.54296875" style="211" bestFit="1" customWidth="1"/>
    <col min="8199" max="8199" width="17.08984375" style="211" customWidth="1"/>
    <col min="8200" max="8200" width="21.6328125" style="211" bestFit="1" customWidth="1"/>
    <col min="8201" max="8201" width="17.08984375" style="211" bestFit="1" customWidth="1"/>
    <col min="8202" max="8202" width="18.08984375" style="211" bestFit="1" customWidth="1"/>
    <col min="8203" max="8203" width="26.453125" style="211" customWidth="1"/>
    <col min="8204" max="8448" width="9.08984375" style="211"/>
    <col min="8449" max="8449" width="8.6328125" style="211" bestFit="1" customWidth="1"/>
    <col min="8450" max="8450" width="13.36328125" style="211" customWidth="1"/>
    <col min="8451" max="8451" width="16.08984375" style="211" bestFit="1" customWidth="1"/>
    <col min="8452" max="8452" width="23.54296875" style="211" customWidth="1"/>
    <col min="8453" max="8453" width="17.36328125" style="211" customWidth="1"/>
    <col min="8454" max="8454" width="20.54296875" style="211" bestFit="1" customWidth="1"/>
    <col min="8455" max="8455" width="17.08984375" style="211" customWidth="1"/>
    <col min="8456" max="8456" width="21.6328125" style="211" bestFit="1" customWidth="1"/>
    <col min="8457" max="8457" width="17.08984375" style="211" bestFit="1" customWidth="1"/>
    <col min="8458" max="8458" width="18.08984375" style="211" bestFit="1" customWidth="1"/>
    <col min="8459" max="8459" width="26.453125" style="211" customWidth="1"/>
    <col min="8460" max="8704" width="9.08984375" style="211"/>
    <col min="8705" max="8705" width="8.6328125" style="211" bestFit="1" customWidth="1"/>
    <col min="8706" max="8706" width="13.36328125" style="211" customWidth="1"/>
    <col min="8707" max="8707" width="16.08984375" style="211" bestFit="1" customWidth="1"/>
    <col min="8708" max="8708" width="23.54296875" style="211" customWidth="1"/>
    <col min="8709" max="8709" width="17.36328125" style="211" customWidth="1"/>
    <col min="8710" max="8710" width="20.54296875" style="211" bestFit="1" customWidth="1"/>
    <col min="8711" max="8711" width="17.08984375" style="211" customWidth="1"/>
    <col min="8712" max="8712" width="21.6328125" style="211" bestFit="1" customWidth="1"/>
    <col min="8713" max="8713" width="17.08984375" style="211" bestFit="1" customWidth="1"/>
    <col min="8714" max="8714" width="18.08984375" style="211" bestFit="1" customWidth="1"/>
    <col min="8715" max="8715" width="26.453125" style="211" customWidth="1"/>
    <col min="8716" max="8960" width="9.08984375" style="211"/>
    <col min="8961" max="8961" width="8.6328125" style="211" bestFit="1" customWidth="1"/>
    <col min="8962" max="8962" width="13.36328125" style="211" customWidth="1"/>
    <col min="8963" max="8963" width="16.08984375" style="211" bestFit="1" customWidth="1"/>
    <col min="8964" max="8964" width="23.54296875" style="211" customWidth="1"/>
    <col min="8965" max="8965" width="17.36328125" style="211" customWidth="1"/>
    <col min="8966" max="8966" width="20.54296875" style="211" bestFit="1" customWidth="1"/>
    <col min="8967" max="8967" width="17.08984375" style="211" customWidth="1"/>
    <col min="8968" max="8968" width="21.6328125" style="211" bestFit="1" customWidth="1"/>
    <col min="8969" max="8969" width="17.08984375" style="211" bestFit="1" customWidth="1"/>
    <col min="8970" max="8970" width="18.08984375" style="211" bestFit="1" customWidth="1"/>
    <col min="8971" max="8971" width="26.453125" style="211" customWidth="1"/>
    <col min="8972" max="9216" width="9.08984375" style="211"/>
    <col min="9217" max="9217" width="8.6328125" style="211" bestFit="1" customWidth="1"/>
    <col min="9218" max="9218" width="13.36328125" style="211" customWidth="1"/>
    <col min="9219" max="9219" width="16.08984375" style="211" bestFit="1" customWidth="1"/>
    <col min="9220" max="9220" width="23.54296875" style="211" customWidth="1"/>
    <col min="9221" max="9221" width="17.36328125" style="211" customWidth="1"/>
    <col min="9222" max="9222" width="20.54296875" style="211" bestFit="1" customWidth="1"/>
    <col min="9223" max="9223" width="17.08984375" style="211" customWidth="1"/>
    <col min="9224" max="9224" width="21.6328125" style="211" bestFit="1" customWidth="1"/>
    <col min="9225" max="9225" width="17.08984375" style="211" bestFit="1" customWidth="1"/>
    <col min="9226" max="9226" width="18.08984375" style="211" bestFit="1" customWidth="1"/>
    <col min="9227" max="9227" width="26.453125" style="211" customWidth="1"/>
    <col min="9228" max="9472" width="9.08984375" style="211"/>
    <col min="9473" max="9473" width="8.6328125" style="211" bestFit="1" customWidth="1"/>
    <col min="9474" max="9474" width="13.36328125" style="211" customWidth="1"/>
    <col min="9475" max="9475" width="16.08984375" style="211" bestFit="1" customWidth="1"/>
    <col min="9476" max="9476" width="23.54296875" style="211" customWidth="1"/>
    <col min="9477" max="9477" width="17.36328125" style="211" customWidth="1"/>
    <col min="9478" max="9478" width="20.54296875" style="211" bestFit="1" customWidth="1"/>
    <col min="9479" max="9479" width="17.08984375" style="211" customWidth="1"/>
    <col min="9480" max="9480" width="21.6328125" style="211" bestFit="1" customWidth="1"/>
    <col min="9481" max="9481" width="17.08984375" style="211" bestFit="1" customWidth="1"/>
    <col min="9482" max="9482" width="18.08984375" style="211" bestFit="1" customWidth="1"/>
    <col min="9483" max="9483" width="26.453125" style="211" customWidth="1"/>
    <col min="9484" max="9728" width="9.08984375" style="211"/>
    <col min="9729" max="9729" width="8.6328125" style="211" bestFit="1" customWidth="1"/>
    <col min="9730" max="9730" width="13.36328125" style="211" customWidth="1"/>
    <col min="9731" max="9731" width="16.08984375" style="211" bestFit="1" customWidth="1"/>
    <col min="9732" max="9732" width="23.54296875" style="211" customWidth="1"/>
    <col min="9733" max="9733" width="17.36328125" style="211" customWidth="1"/>
    <col min="9734" max="9734" width="20.54296875" style="211" bestFit="1" customWidth="1"/>
    <col min="9735" max="9735" width="17.08984375" style="211" customWidth="1"/>
    <col min="9736" max="9736" width="21.6328125" style="211" bestFit="1" customWidth="1"/>
    <col min="9737" max="9737" width="17.08984375" style="211" bestFit="1" customWidth="1"/>
    <col min="9738" max="9738" width="18.08984375" style="211" bestFit="1" customWidth="1"/>
    <col min="9739" max="9739" width="26.453125" style="211" customWidth="1"/>
    <col min="9740" max="9984" width="9.08984375" style="211"/>
    <col min="9985" max="9985" width="8.6328125" style="211" bestFit="1" customWidth="1"/>
    <col min="9986" max="9986" width="13.36328125" style="211" customWidth="1"/>
    <col min="9987" max="9987" width="16.08984375" style="211" bestFit="1" customWidth="1"/>
    <col min="9988" max="9988" width="23.54296875" style="211" customWidth="1"/>
    <col min="9989" max="9989" width="17.36328125" style="211" customWidth="1"/>
    <col min="9990" max="9990" width="20.54296875" style="211" bestFit="1" customWidth="1"/>
    <col min="9991" max="9991" width="17.08984375" style="211" customWidth="1"/>
    <col min="9992" max="9992" width="21.6328125" style="211" bestFit="1" customWidth="1"/>
    <col min="9993" max="9993" width="17.08984375" style="211" bestFit="1" customWidth="1"/>
    <col min="9994" max="9994" width="18.08984375" style="211" bestFit="1" customWidth="1"/>
    <col min="9995" max="9995" width="26.453125" style="211" customWidth="1"/>
    <col min="9996" max="10240" width="9.08984375" style="211"/>
    <col min="10241" max="10241" width="8.6328125" style="211" bestFit="1" customWidth="1"/>
    <col min="10242" max="10242" width="13.36328125" style="211" customWidth="1"/>
    <col min="10243" max="10243" width="16.08984375" style="211" bestFit="1" customWidth="1"/>
    <col min="10244" max="10244" width="23.54296875" style="211" customWidth="1"/>
    <col min="10245" max="10245" width="17.36328125" style="211" customWidth="1"/>
    <col min="10246" max="10246" width="20.54296875" style="211" bestFit="1" customWidth="1"/>
    <col min="10247" max="10247" width="17.08984375" style="211" customWidth="1"/>
    <col min="10248" max="10248" width="21.6328125" style="211" bestFit="1" customWidth="1"/>
    <col min="10249" max="10249" width="17.08984375" style="211" bestFit="1" customWidth="1"/>
    <col min="10250" max="10250" width="18.08984375" style="211" bestFit="1" customWidth="1"/>
    <col min="10251" max="10251" width="26.453125" style="211" customWidth="1"/>
    <col min="10252" max="10496" width="9.08984375" style="211"/>
    <col min="10497" max="10497" width="8.6328125" style="211" bestFit="1" customWidth="1"/>
    <col min="10498" max="10498" width="13.36328125" style="211" customWidth="1"/>
    <col min="10499" max="10499" width="16.08984375" style="211" bestFit="1" customWidth="1"/>
    <col min="10500" max="10500" width="23.54296875" style="211" customWidth="1"/>
    <col min="10501" max="10501" width="17.36328125" style="211" customWidth="1"/>
    <col min="10502" max="10502" width="20.54296875" style="211" bestFit="1" customWidth="1"/>
    <col min="10503" max="10503" width="17.08984375" style="211" customWidth="1"/>
    <col min="10504" max="10504" width="21.6328125" style="211" bestFit="1" customWidth="1"/>
    <col min="10505" max="10505" width="17.08984375" style="211" bestFit="1" customWidth="1"/>
    <col min="10506" max="10506" width="18.08984375" style="211" bestFit="1" customWidth="1"/>
    <col min="10507" max="10507" width="26.453125" style="211" customWidth="1"/>
    <col min="10508" max="10752" width="9.08984375" style="211"/>
    <col min="10753" max="10753" width="8.6328125" style="211" bestFit="1" customWidth="1"/>
    <col min="10754" max="10754" width="13.36328125" style="211" customWidth="1"/>
    <col min="10755" max="10755" width="16.08984375" style="211" bestFit="1" customWidth="1"/>
    <col min="10756" max="10756" width="23.54296875" style="211" customWidth="1"/>
    <col min="10757" max="10757" width="17.36328125" style="211" customWidth="1"/>
    <col min="10758" max="10758" width="20.54296875" style="211" bestFit="1" customWidth="1"/>
    <col min="10759" max="10759" width="17.08984375" style="211" customWidth="1"/>
    <col min="10760" max="10760" width="21.6328125" style="211" bestFit="1" customWidth="1"/>
    <col min="10761" max="10761" width="17.08984375" style="211" bestFit="1" customWidth="1"/>
    <col min="10762" max="10762" width="18.08984375" style="211" bestFit="1" customWidth="1"/>
    <col min="10763" max="10763" width="26.453125" style="211" customWidth="1"/>
    <col min="10764" max="11008" width="9.08984375" style="211"/>
    <col min="11009" max="11009" width="8.6328125" style="211" bestFit="1" customWidth="1"/>
    <col min="11010" max="11010" width="13.36328125" style="211" customWidth="1"/>
    <col min="11011" max="11011" width="16.08984375" style="211" bestFit="1" customWidth="1"/>
    <col min="11012" max="11012" width="23.54296875" style="211" customWidth="1"/>
    <col min="11013" max="11013" width="17.36328125" style="211" customWidth="1"/>
    <col min="11014" max="11014" width="20.54296875" style="211" bestFit="1" customWidth="1"/>
    <col min="11015" max="11015" width="17.08984375" style="211" customWidth="1"/>
    <col min="11016" max="11016" width="21.6328125" style="211" bestFit="1" customWidth="1"/>
    <col min="11017" max="11017" width="17.08984375" style="211" bestFit="1" customWidth="1"/>
    <col min="11018" max="11018" width="18.08984375" style="211" bestFit="1" customWidth="1"/>
    <col min="11019" max="11019" width="26.453125" style="211" customWidth="1"/>
    <col min="11020" max="11264" width="9.08984375" style="211"/>
    <col min="11265" max="11265" width="8.6328125" style="211" bestFit="1" customWidth="1"/>
    <col min="11266" max="11266" width="13.36328125" style="211" customWidth="1"/>
    <col min="11267" max="11267" width="16.08984375" style="211" bestFit="1" customWidth="1"/>
    <col min="11268" max="11268" width="23.54296875" style="211" customWidth="1"/>
    <col min="11269" max="11269" width="17.36328125" style="211" customWidth="1"/>
    <col min="11270" max="11270" width="20.54296875" style="211" bestFit="1" customWidth="1"/>
    <col min="11271" max="11271" width="17.08984375" style="211" customWidth="1"/>
    <col min="11272" max="11272" width="21.6328125" style="211" bestFit="1" customWidth="1"/>
    <col min="11273" max="11273" width="17.08984375" style="211" bestFit="1" customWidth="1"/>
    <col min="11274" max="11274" width="18.08984375" style="211" bestFit="1" customWidth="1"/>
    <col min="11275" max="11275" width="26.453125" style="211" customWidth="1"/>
    <col min="11276" max="11520" width="9.08984375" style="211"/>
    <col min="11521" max="11521" width="8.6328125" style="211" bestFit="1" customWidth="1"/>
    <col min="11522" max="11522" width="13.36328125" style="211" customWidth="1"/>
    <col min="11523" max="11523" width="16.08984375" style="211" bestFit="1" customWidth="1"/>
    <col min="11524" max="11524" width="23.54296875" style="211" customWidth="1"/>
    <col min="11525" max="11525" width="17.36328125" style="211" customWidth="1"/>
    <col min="11526" max="11526" width="20.54296875" style="211" bestFit="1" customWidth="1"/>
    <col min="11527" max="11527" width="17.08984375" style="211" customWidth="1"/>
    <col min="11528" max="11528" width="21.6328125" style="211" bestFit="1" customWidth="1"/>
    <col min="11529" max="11529" width="17.08984375" style="211" bestFit="1" customWidth="1"/>
    <col min="11530" max="11530" width="18.08984375" style="211" bestFit="1" customWidth="1"/>
    <col min="11531" max="11531" width="26.453125" style="211" customWidth="1"/>
    <col min="11532" max="11776" width="9.08984375" style="211"/>
    <col min="11777" max="11777" width="8.6328125" style="211" bestFit="1" customWidth="1"/>
    <col min="11778" max="11778" width="13.36328125" style="211" customWidth="1"/>
    <col min="11779" max="11779" width="16.08984375" style="211" bestFit="1" customWidth="1"/>
    <col min="11780" max="11780" width="23.54296875" style="211" customWidth="1"/>
    <col min="11781" max="11781" width="17.36328125" style="211" customWidth="1"/>
    <col min="11782" max="11782" width="20.54296875" style="211" bestFit="1" customWidth="1"/>
    <col min="11783" max="11783" width="17.08984375" style="211" customWidth="1"/>
    <col min="11784" max="11784" width="21.6328125" style="211" bestFit="1" customWidth="1"/>
    <col min="11785" max="11785" width="17.08984375" style="211" bestFit="1" customWidth="1"/>
    <col min="11786" max="11786" width="18.08984375" style="211" bestFit="1" customWidth="1"/>
    <col min="11787" max="11787" width="26.453125" style="211" customWidth="1"/>
    <col min="11788" max="12032" width="9.08984375" style="211"/>
    <col min="12033" max="12033" width="8.6328125" style="211" bestFit="1" customWidth="1"/>
    <col min="12034" max="12034" width="13.36328125" style="211" customWidth="1"/>
    <col min="12035" max="12035" width="16.08984375" style="211" bestFit="1" customWidth="1"/>
    <col min="12036" max="12036" width="23.54296875" style="211" customWidth="1"/>
    <col min="12037" max="12037" width="17.36328125" style="211" customWidth="1"/>
    <col min="12038" max="12038" width="20.54296875" style="211" bestFit="1" customWidth="1"/>
    <col min="12039" max="12039" width="17.08984375" style="211" customWidth="1"/>
    <col min="12040" max="12040" width="21.6328125" style="211" bestFit="1" customWidth="1"/>
    <col min="12041" max="12041" width="17.08984375" style="211" bestFit="1" customWidth="1"/>
    <col min="12042" max="12042" width="18.08984375" style="211" bestFit="1" customWidth="1"/>
    <col min="12043" max="12043" width="26.453125" style="211" customWidth="1"/>
    <col min="12044" max="12288" width="9.08984375" style="211"/>
    <col min="12289" max="12289" width="8.6328125" style="211" bestFit="1" customWidth="1"/>
    <col min="12290" max="12290" width="13.36328125" style="211" customWidth="1"/>
    <col min="12291" max="12291" width="16.08984375" style="211" bestFit="1" customWidth="1"/>
    <col min="12292" max="12292" width="23.54296875" style="211" customWidth="1"/>
    <col min="12293" max="12293" width="17.36328125" style="211" customWidth="1"/>
    <col min="12294" max="12294" width="20.54296875" style="211" bestFit="1" customWidth="1"/>
    <col min="12295" max="12295" width="17.08984375" style="211" customWidth="1"/>
    <col min="12296" max="12296" width="21.6328125" style="211" bestFit="1" customWidth="1"/>
    <col min="12297" max="12297" width="17.08984375" style="211" bestFit="1" customWidth="1"/>
    <col min="12298" max="12298" width="18.08984375" style="211" bestFit="1" customWidth="1"/>
    <col min="12299" max="12299" width="26.453125" style="211" customWidth="1"/>
    <col min="12300" max="12544" width="9.08984375" style="211"/>
    <col min="12545" max="12545" width="8.6328125" style="211" bestFit="1" customWidth="1"/>
    <col min="12546" max="12546" width="13.36328125" style="211" customWidth="1"/>
    <col min="12547" max="12547" width="16.08984375" style="211" bestFit="1" customWidth="1"/>
    <col min="12548" max="12548" width="23.54296875" style="211" customWidth="1"/>
    <col min="12549" max="12549" width="17.36328125" style="211" customWidth="1"/>
    <col min="12550" max="12550" width="20.54296875" style="211" bestFit="1" customWidth="1"/>
    <col min="12551" max="12551" width="17.08984375" style="211" customWidth="1"/>
    <col min="12552" max="12552" width="21.6328125" style="211" bestFit="1" customWidth="1"/>
    <col min="12553" max="12553" width="17.08984375" style="211" bestFit="1" customWidth="1"/>
    <col min="12554" max="12554" width="18.08984375" style="211" bestFit="1" customWidth="1"/>
    <col min="12555" max="12555" width="26.453125" style="211" customWidth="1"/>
    <col min="12556" max="12800" width="9.08984375" style="211"/>
    <col min="12801" max="12801" width="8.6328125" style="211" bestFit="1" customWidth="1"/>
    <col min="12802" max="12802" width="13.36328125" style="211" customWidth="1"/>
    <col min="12803" max="12803" width="16.08984375" style="211" bestFit="1" customWidth="1"/>
    <col min="12804" max="12804" width="23.54296875" style="211" customWidth="1"/>
    <col min="12805" max="12805" width="17.36328125" style="211" customWidth="1"/>
    <col min="12806" max="12806" width="20.54296875" style="211" bestFit="1" customWidth="1"/>
    <col min="12807" max="12807" width="17.08984375" style="211" customWidth="1"/>
    <col min="12808" max="12808" width="21.6328125" style="211" bestFit="1" customWidth="1"/>
    <col min="12809" max="12809" width="17.08984375" style="211" bestFit="1" customWidth="1"/>
    <col min="12810" max="12810" width="18.08984375" style="211" bestFit="1" customWidth="1"/>
    <col min="12811" max="12811" width="26.453125" style="211" customWidth="1"/>
    <col min="12812" max="13056" width="9.08984375" style="211"/>
    <col min="13057" max="13057" width="8.6328125" style="211" bestFit="1" customWidth="1"/>
    <col min="13058" max="13058" width="13.36328125" style="211" customWidth="1"/>
    <col min="13059" max="13059" width="16.08984375" style="211" bestFit="1" customWidth="1"/>
    <col min="13060" max="13060" width="23.54296875" style="211" customWidth="1"/>
    <col min="13061" max="13061" width="17.36328125" style="211" customWidth="1"/>
    <col min="13062" max="13062" width="20.54296875" style="211" bestFit="1" customWidth="1"/>
    <col min="13063" max="13063" width="17.08984375" style="211" customWidth="1"/>
    <col min="13064" max="13064" width="21.6328125" style="211" bestFit="1" customWidth="1"/>
    <col min="13065" max="13065" width="17.08984375" style="211" bestFit="1" customWidth="1"/>
    <col min="13066" max="13066" width="18.08984375" style="211" bestFit="1" customWidth="1"/>
    <col min="13067" max="13067" width="26.453125" style="211" customWidth="1"/>
    <col min="13068" max="13312" width="9.08984375" style="211"/>
    <col min="13313" max="13313" width="8.6328125" style="211" bestFit="1" customWidth="1"/>
    <col min="13314" max="13314" width="13.36328125" style="211" customWidth="1"/>
    <col min="13315" max="13315" width="16.08984375" style="211" bestFit="1" customWidth="1"/>
    <col min="13316" max="13316" width="23.54296875" style="211" customWidth="1"/>
    <col min="13317" max="13317" width="17.36328125" style="211" customWidth="1"/>
    <col min="13318" max="13318" width="20.54296875" style="211" bestFit="1" customWidth="1"/>
    <col min="13319" max="13319" width="17.08984375" style="211" customWidth="1"/>
    <col min="13320" max="13320" width="21.6328125" style="211" bestFit="1" customWidth="1"/>
    <col min="13321" max="13321" width="17.08984375" style="211" bestFit="1" customWidth="1"/>
    <col min="13322" max="13322" width="18.08984375" style="211" bestFit="1" customWidth="1"/>
    <col min="13323" max="13323" width="26.453125" style="211" customWidth="1"/>
    <col min="13324" max="13568" width="9.08984375" style="211"/>
    <col min="13569" max="13569" width="8.6328125" style="211" bestFit="1" customWidth="1"/>
    <col min="13570" max="13570" width="13.36328125" style="211" customWidth="1"/>
    <col min="13571" max="13571" width="16.08984375" style="211" bestFit="1" customWidth="1"/>
    <col min="13572" max="13572" width="23.54296875" style="211" customWidth="1"/>
    <col min="13573" max="13573" width="17.36328125" style="211" customWidth="1"/>
    <col min="13574" max="13574" width="20.54296875" style="211" bestFit="1" customWidth="1"/>
    <col min="13575" max="13575" width="17.08984375" style="211" customWidth="1"/>
    <col min="13576" max="13576" width="21.6328125" style="211" bestFit="1" customWidth="1"/>
    <col min="13577" max="13577" width="17.08984375" style="211" bestFit="1" customWidth="1"/>
    <col min="13578" max="13578" width="18.08984375" style="211" bestFit="1" customWidth="1"/>
    <col min="13579" max="13579" width="26.453125" style="211" customWidth="1"/>
    <col min="13580" max="13824" width="9.08984375" style="211"/>
    <col min="13825" max="13825" width="8.6328125" style="211" bestFit="1" customWidth="1"/>
    <col min="13826" max="13826" width="13.36328125" style="211" customWidth="1"/>
    <col min="13827" max="13827" width="16.08984375" style="211" bestFit="1" customWidth="1"/>
    <col min="13828" max="13828" width="23.54296875" style="211" customWidth="1"/>
    <col min="13829" max="13829" width="17.36328125" style="211" customWidth="1"/>
    <col min="13830" max="13830" width="20.54296875" style="211" bestFit="1" customWidth="1"/>
    <col min="13831" max="13831" width="17.08984375" style="211" customWidth="1"/>
    <col min="13832" max="13832" width="21.6328125" style="211" bestFit="1" customWidth="1"/>
    <col min="13833" max="13833" width="17.08984375" style="211" bestFit="1" customWidth="1"/>
    <col min="13834" max="13834" width="18.08984375" style="211" bestFit="1" customWidth="1"/>
    <col min="13835" max="13835" width="26.453125" style="211" customWidth="1"/>
    <col min="13836" max="14080" width="9.08984375" style="211"/>
    <col min="14081" max="14081" width="8.6328125" style="211" bestFit="1" customWidth="1"/>
    <col min="14082" max="14082" width="13.36328125" style="211" customWidth="1"/>
    <col min="14083" max="14083" width="16.08984375" style="211" bestFit="1" customWidth="1"/>
    <col min="14084" max="14084" width="23.54296875" style="211" customWidth="1"/>
    <col min="14085" max="14085" width="17.36328125" style="211" customWidth="1"/>
    <col min="14086" max="14086" width="20.54296875" style="211" bestFit="1" customWidth="1"/>
    <col min="14087" max="14087" width="17.08984375" style="211" customWidth="1"/>
    <col min="14088" max="14088" width="21.6328125" style="211" bestFit="1" customWidth="1"/>
    <col min="14089" max="14089" width="17.08984375" style="211" bestFit="1" customWidth="1"/>
    <col min="14090" max="14090" width="18.08984375" style="211" bestFit="1" customWidth="1"/>
    <col min="14091" max="14091" width="26.453125" style="211" customWidth="1"/>
    <col min="14092" max="14336" width="9.08984375" style="211"/>
    <col min="14337" max="14337" width="8.6328125" style="211" bestFit="1" customWidth="1"/>
    <col min="14338" max="14338" width="13.36328125" style="211" customWidth="1"/>
    <col min="14339" max="14339" width="16.08984375" style="211" bestFit="1" customWidth="1"/>
    <col min="14340" max="14340" width="23.54296875" style="211" customWidth="1"/>
    <col min="14341" max="14341" width="17.36328125" style="211" customWidth="1"/>
    <col min="14342" max="14342" width="20.54296875" style="211" bestFit="1" customWidth="1"/>
    <col min="14343" max="14343" width="17.08984375" style="211" customWidth="1"/>
    <col min="14344" max="14344" width="21.6328125" style="211" bestFit="1" customWidth="1"/>
    <col min="14345" max="14345" width="17.08984375" style="211" bestFit="1" customWidth="1"/>
    <col min="14346" max="14346" width="18.08984375" style="211" bestFit="1" customWidth="1"/>
    <col min="14347" max="14347" width="26.453125" style="211" customWidth="1"/>
    <col min="14348" max="14592" width="9.08984375" style="211"/>
    <col min="14593" max="14593" width="8.6328125" style="211" bestFit="1" customWidth="1"/>
    <col min="14594" max="14594" width="13.36328125" style="211" customWidth="1"/>
    <col min="14595" max="14595" width="16.08984375" style="211" bestFit="1" customWidth="1"/>
    <col min="14596" max="14596" width="23.54296875" style="211" customWidth="1"/>
    <col min="14597" max="14597" width="17.36328125" style="211" customWidth="1"/>
    <col min="14598" max="14598" width="20.54296875" style="211" bestFit="1" customWidth="1"/>
    <col min="14599" max="14599" width="17.08984375" style="211" customWidth="1"/>
    <col min="14600" max="14600" width="21.6328125" style="211" bestFit="1" customWidth="1"/>
    <col min="14601" max="14601" width="17.08984375" style="211" bestFit="1" customWidth="1"/>
    <col min="14602" max="14602" width="18.08984375" style="211" bestFit="1" customWidth="1"/>
    <col min="14603" max="14603" width="26.453125" style="211" customWidth="1"/>
    <col min="14604" max="14848" width="9.08984375" style="211"/>
    <col min="14849" max="14849" width="8.6328125" style="211" bestFit="1" customWidth="1"/>
    <col min="14850" max="14850" width="13.36328125" style="211" customWidth="1"/>
    <col min="14851" max="14851" width="16.08984375" style="211" bestFit="1" customWidth="1"/>
    <col min="14852" max="14852" width="23.54296875" style="211" customWidth="1"/>
    <col min="14853" max="14853" width="17.36328125" style="211" customWidth="1"/>
    <col min="14854" max="14854" width="20.54296875" style="211" bestFit="1" customWidth="1"/>
    <col min="14855" max="14855" width="17.08984375" style="211" customWidth="1"/>
    <col min="14856" max="14856" width="21.6328125" style="211" bestFit="1" customWidth="1"/>
    <col min="14857" max="14857" width="17.08984375" style="211" bestFit="1" customWidth="1"/>
    <col min="14858" max="14858" width="18.08984375" style="211" bestFit="1" customWidth="1"/>
    <col min="14859" max="14859" width="26.453125" style="211" customWidth="1"/>
    <col min="14860" max="15104" width="9.08984375" style="211"/>
    <col min="15105" max="15105" width="8.6328125" style="211" bestFit="1" customWidth="1"/>
    <col min="15106" max="15106" width="13.36328125" style="211" customWidth="1"/>
    <col min="15107" max="15107" width="16.08984375" style="211" bestFit="1" customWidth="1"/>
    <col min="15108" max="15108" width="23.54296875" style="211" customWidth="1"/>
    <col min="15109" max="15109" width="17.36328125" style="211" customWidth="1"/>
    <col min="15110" max="15110" width="20.54296875" style="211" bestFit="1" customWidth="1"/>
    <col min="15111" max="15111" width="17.08984375" style="211" customWidth="1"/>
    <col min="15112" max="15112" width="21.6328125" style="211" bestFit="1" customWidth="1"/>
    <col min="15113" max="15113" width="17.08984375" style="211" bestFit="1" customWidth="1"/>
    <col min="15114" max="15114" width="18.08984375" style="211" bestFit="1" customWidth="1"/>
    <col min="15115" max="15115" width="26.453125" style="211" customWidth="1"/>
    <col min="15116" max="15360" width="9.08984375" style="211"/>
    <col min="15361" max="15361" width="8.6328125" style="211" bestFit="1" customWidth="1"/>
    <col min="15362" max="15362" width="13.36328125" style="211" customWidth="1"/>
    <col min="15363" max="15363" width="16.08984375" style="211" bestFit="1" customWidth="1"/>
    <col min="15364" max="15364" width="23.54296875" style="211" customWidth="1"/>
    <col min="15365" max="15365" width="17.36328125" style="211" customWidth="1"/>
    <col min="15366" max="15366" width="20.54296875" style="211" bestFit="1" customWidth="1"/>
    <col min="15367" max="15367" width="17.08984375" style="211" customWidth="1"/>
    <col min="15368" max="15368" width="21.6328125" style="211" bestFit="1" customWidth="1"/>
    <col min="15369" max="15369" width="17.08984375" style="211" bestFit="1" customWidth="1"/>
    <col min="15370" max="15370" width="18.08984375" style="211" bestFit="1" customWidth="1"/>
    <col min="15371" max="15371" width="26.453125" style="211" customWidth="1"/>
    <col min="15372" max="15616" width="9.08984375" style="211"/>
    <col min="15617" max="15617" width="8.6328125" style="211" bestFit="1" customWidth="1"/>
    <col min="15618" max="15618" width="13.36328125" style="211" customWidth="1"/>
    <col min="15619" max="15619" width="16.08984375" style="211" bestFit="1" customWidth="1"/>
    <col min="15620" max="15620" width="23.54296875" style="211" customWidth="1"/>
    <col min="15621" max="15621" width="17.36328125" style="211" customWidth="1"/>
    <col min="15622" max="15622" width="20.54296875" style="211" bestFit="1" customWidth="1"/>
    <col min="15623" max="15623" width="17.08984375" style="211" customWidth="1"/>
    <col min="15624" max="15624" width="21.6328125" style="211" bestFit="1" customWidth="1"/>
    <col min="15625" max="15625" width="17.08984375" style="211" bestFit="1" customWidth="1"/>
    <col min="15626" max="15626" width="18.08984375" style="211" bestFit="1" customWidth="1"/>
    <col min="15627" max="15627" width="26.453125" style="211" customWidth="1"/>
    <col min="15628" max="15872" width="9.08984375" style="211"/>
    <col min="15873" max="15873" width="8.6328125" style="211" bestFit="1" customWidth="1"/>
    <col min="15874" max="15874" width="13.36328125" style="211" customWidth="1"/>
    <col min="15875" max="15875" width="16.08984375" style="211" bestFit="1" customWidth="1"/>
    <col min="15876" max="15876" width="23.54296875" style="211" customWidth="1"/>
    <col min="15877" max="15877" width="17.36328125" style="211" customWidth="1"/>
    <col min="15878" max="15878" width="20.54296875" style="211" bestFit="1" customWidth="1"/>
    <col min="15879" max="15879" width="17.08984375" style="211" customWidth="1"/>
    <col min="15880" max="15880" width="21.6328125" style="211" bestFit="1" customWidth="1"/>
    <col min="15881" max="15881" width="17.08984375" style="211" bestFit="1" customWidth="1"/>
    <col min="15882" max="15882" width="18.08984375" style="211" bestFit="1" customWidth="1"/>
    <col min="15883" max="15883" width="26.453125" style="211" customWidth="1"/>
    <col min="15884" max="16128" width="9.08984375" style="211"/>
    <col min="16129" max="16129" width="8.6328125" style="211" bestFit="1" customWidth="1"/>
    <col min="16130" max="16130" width="13.36328125" style="211" customWidth="1"/>
    <col min="16131" max="16131" width="16.08984375" style="211" bestFit="1" customWidth="1"/>
    <col min="16132" max="16132" width="23.54296875" style="211" customWidth="1"/>
    <col min="16133" max="16133" width="17.36328125" style="211" customWidth="1"/>
    <col min="16134" max="16134" width="20.54296875" style="211" bestFit="1" customWidth="1"/>
    <col min="16135" max="16135" width="17.08984375" style="211" customWidth="1"/>
    <col min="16136" max="16136" width="21.6328125" style="211" bestFit="1" customWidth="1"/>
    <col min="16137" max="16137" width="17.08984375" style="211" bestFit="1" customWidth="1"/>
    <col min="16138" max="16138" width="18.08984375" style="211" bestFit="1" customWidth="1"/>
    <col min="16139" max="16139" width="26.453125" style="211" customWidth="1"/>
    <col min="16140" max="16384" width="9.08984375" style="211"/>
  </cols>
  <sheetData>
    <row r="1" spans="13:13" s="244" customFormat="1" x14ac:dyDescent="0.25">
      <c r="M1" s="245"/>
    </row>
    <row r="2" spans="13:13" s="244" customFormat="1" x14ac:dyDescent="0.25">
      <c r="M2" s="245"/>
    </row>
    <row r="3" spans="13:13" s="244" customFormat="1" x14ac:dyDescent="0.25">
      <c r="M3" s="245"/>
    </row>
    <row r="4" spans="13:13" s="244" customFormat="1" x14ac:dyDescent="0.25">
      <c r="M4" s="245"/>
    </row>
    <row r="5" spans="13:13" s="244" customFormat="1" x14ac:dyDescent="0.25">
      <c r="M5" s="245"/>
    </row>
    <row r="6" spans="13:13" s="244" customFormat="1" x14ac:dyDescent="0.25">
      <c r="M6" s="245"/>
    </row>
    <row r="7" spans="13:13" s="244" customFormat="1" x14ac:dyDescent="0.25">
      <c r="M7" s="245"/>
    </row>
    <row r="8" spans="13:13" s="244" customFormat="1" x14ac:dyDescent="0.25">
      <c r="M8" s="245"/>
    </row>
    <row r="9" spans="13:13" s="244" customFormat="1" x14ac:dyDescent="0.25">
      <c r="M9" s="245"/>
    </row>
    <row r="10" spans="13:13" s="244" customFormat="1" x14ac:dyDescent="0.25">
      <c r="M10" s="245"/>
    </row>
    <row r="11" spans="13:13" s="244" customFormat="1" x14ac:dyDescent="0.25">
      <c r="M11" s="245"/>
    </row>
    <row r="12" spans="13:13" s="244" customFormat="1" x14ac:dyDescent="0.25">
      <c r="M12" s="245"/>
    </row>
    <row r="13" spans="13:13" s="244" customFormat="1" x14ac:dyDescent="0.25">
      <c r="M13" s="245"/>
    </row>
    <row r="14" spans="13:13" s="244" customFormat="1" x14ac:dyDescent="0.25">
      <c r="M14" s="245"/>
    </row>
    <row r="15" spans="13:13" s="244" customFormat="1" x14ac:dyDescent="0.25">
      <c r="M15" s="245"/>
    </row>
    <row r="16" spans="13:13" s="244" customFormat="1" x14ac:dyDescent="0.25">
      <c r="M16" s="245"/>
    </row>
    <row r="17" spans="13:13" s="244" customFormat="1" x14ac:dyDescent="0.25">
      <c r="M17" s="245"/>
    </row>
    <row r="18" spans="13:13" s="244" customFormat="1" x14ac:dyDescent="0.25">
      <c r="M18" s="245"/>
    </row>
    <row r="19" spans="13:13" s="244" customFormat="1" x14ac:dyDescent="0.25">
      <c r="M19" s="245"/>
    </row>
    <row r="20" spans="13:13" s="244" customFormat="1" x14ac:dyDescent="0.25">
      <c r="M20" s="245"/>
    </row>
    <row r="21" spans="13:13" s="244" customFormat="1" x14ac:dyDescent="0.25">
      <c r="M21" s="245"/>
    </row>
    <row r="22" spans="13:13" s="244" customFormat="1" x14ac:dyDescent="0.25">
      <c r="M22" s="245"/>
    </row>
    <row r="23" spans="13:13" s="244" customFormat="1" x14ac:dyDescent="0.25">
      <c r="M23" s="245"/>
    </row>
    <row r="24" spans="13:13" s="244" customFormat="1" x14ac:dyDescent="0.25">
      <c r="M24" s="245"/>
    </row>
    <row r="25" spans="13:13" s="244" customFormat="1" x14ac:dyDescent="0.25">
      <c r="M25" s="245"/>
    </row>
    <row r="26" spans="13:13" s="244" customFormat="1" x14ac:dyDescent="0.25">
      <c r="M26" s="245"/>
    </row>
    <row r="27" spans="13:13" s="244" customFormat="1" x14ac:dyDescent="0.25">
      <c r="M27" s="245"/>
    </row>
    <row r="28" spans="13:13" s="244" customFormat="1" x14ac:dyDescent="0.25">
      <c r="M28" s="245"/>
    </row>
    <row r="29" spans="13:13" s="244" customFormat="1" x14ac:dyDescent="0.25">
      <c r="M29" s="245"/>
    </row>
    <row r="30" spans="13:13" s="244" customFormat="1" x14ac:dyDescent="0.25">
      <c r="M30" s="245"/>
    </row>
    <row r="31" spans="13:13" s="244" customFormat="1" x14ac:dyDescent="0.25">
      <c r="M31" s="245"/>
    </row>
    <row r="32" spans="13:13" s="244" customFormat="1" x14ac:dyDescent="0.25">
      <c r="M32" s="245"/>
    </row>
    <row r="33" spans="1:13" s="244" customFormat="1" ht="15.75" customHeight="1" x14ac:dyDescent="0.25">
      <c r="I33" s="270" t="str">
        <f>IF(OR(SCH_MODE=3, SCH_MODE=4),"** Tie VCCX to GND if not used **", "")</f>
        <v/>
      </c>
    </row>
    <row r="34" spans="1:13" s="244" customFormat="1" ht="15.75" customHeight="1" x14ac:dyDescent="0.25">
      <c r="A34" s="244" t="s">
        <v>938</v>
      </c>
    </row>
    <row r="35" spans="1:13" s="244" customFormat="1" ht="15.75" customHeight="1" x14ac:dyDescent="0.25">
      <c r="A35" s="244" t="s">
        <v>747</v>
      </c>
    </row>
    <row r="36" spans="1:13" s="244" customFormat="1" ht="24.75" customHeight="1" x14ac:dyDescent="0.35">
      <c r="A36" s="249" t="str">
        <f>"Vin = "&amp;VIN_min&amp;"V to "&amp;VIN_max&amp;"V, Vout = "&amp; Vout &amp;"V, Iout = " &amp;Iout &amp; "A, Fsw = " &amp; Fsw/1000 &amp;"kHz, Current Limit = "&amp;ROUNDUP(Ilimit_DC,0)&amp;"A"</f>
        <v>Vin = 5V to 7.4V, Vout = 3.3V, Iout = 1.5A, Fsw = 405.68kHz, Current Limit = 1A</v>
      </c>
    </row>
    <row r="37" spans="1:13" ht="24.75" customHeight="1" thickBot="1" x14ac:dyDescent="0.3">
      <c r="A37" s="213" t="s">
        <v>952</v>
      </c>
    </row>
    <row r="38" spans="1:13" ht="18" customHeight="1" x14ac:dyDescent="0.25">
      <c r="A38" s="473" t="s">
        <v>247</v>
      </c>
      <c r="B38" s="474" t="s">
        <v>246</v>
      </c>
      <c r="C38" s="474" t="s">
        <v>7</v>
      </c>
      <c r="D38" s="798" t="s">
        <v>107</v>
      </c>
      <c r="E38" s="799"/>
      <c r="F38" s="799"/>
      <c r="G38" s="800"/>
      <c r="H38" s="475" t="s">
        <v>238</v>
      </c>
      <c r="I38" s="475" t="s">
        <v>156</v>
      </c>
      <c r="J38" s="475" t="s">
        <v>239</v>
      </c>
      <c r="L38" s="212"/>
      <c r="M38" s="211"/>
    </row>
    <row r="39" spans="1:13" s="218" customFormat="1" ht="15.75" customHeight="1" x14ac:dyDescent="0.25">
      <c r="A39" s="215">
        <v>1</v>
      </c>
      <c r="B39" s="216" t="s">
        <v>743</v>
      </c>
      <c r="C39" s="230">
        <v>0.1</v>
      </c>
      <c r="D39" s="816">
        <f t="shared" ref="D39:D45" si="0">C39</f>
        <v>0.1</v>
      </c>
      <c r="E39" s="817"/>
      <c r="F39" s="817"/>
      <c r="G39" s="231"/>
      <c r="H39" s="232" t="s">
        <v>243</v>
      </c>
      <c r="I39" s="217" t="s">
        <v>240</v>
      </c>
      <c r="J39" s="217" t="s">
        <v>240</v>
      </c>
      <c r="L39" s="219"/>
    </row>
    <row r="40" spans="1:13" s="218" customFormat="1" ht="15.5" x14ac:dyDescent="0.25">
      <c r="A40" s="214">
        <v>1</v>
      </c>
      <c r="B40" s="233" t="s">
        <v>939</v>
      </c>
      <c r="C40" s="241">
        <f>'Design Regulator'!D72</f>
        <v>0.82</v>
      </c>
      <c r="D40" s="818">
        <f t="shared" si="0"/>
        <v>0.82</v>
      </c>
      <c r="E40" s="819"/>
      <c r="F40" s="819"/>
      <c r="G40" s="235"/>
      <c r="H40" s="236" t="s">
        <v>243</v>
      </c>
      <c r="I40" s="237" t="s">
        <v>240</v>
      </c>
      <c r="J40" s="237" t="s">
        <v>240</v>
      </c>
      <c r="L40" s="219"/>
    </row>
    <row r="41" spans="1:13" s="218" customFormat="1" ht="15.5" x14ac:dyDescent="0.25">
      <c r="A41" s="214">
        <v>1</v>
      </c>
      <c r="B41" s="233" t="s">
        <v>940</v>
      </c>
      <c r="C41" s="234">
        <f>'Design Regulator'!D73</f>
        <v>0</v>
      </c>
      <c r="D41" s="824">
        <f t="shared" si="0"/>
        <v>0</v>
      </c>
      <c r="E41" s="825"/>
      <c r="F41" s="825"/>
      <c r="G41" s="235"/>
      <c r="H41" s="236" t="s">
        <v>243</v>
      </c>
      <c r="I41" s="237" t="s">
        <v>240</v>
      </c>
      <c r="J41" s="237" t="s">
        <v>240</v>
      </c>
      <c r="L41" s="219"/>
    </row>
    <row r="42" spans="1:13" s="218" customFormat="1" ht="15.5" x14ac:dyDescent="0.25">
      <c r="A42" s="214">
        <f>ROUNDUP('Design Regulator'!E44/10,0)</f>
        <v>3</v>
      </c>
      <c r="B42" s="233" t="s">
        <v>244</v>
      </c>
      <c r="C42" s="240">
        <v>10</v>
      </c>
      <c r="D42" s="826">
        <f>C42</f>
        <v>10</v>
      </c>
      <c r="E42" s="827"/>
      <c r="F42" s="827"/>
      <c r="G42" s="235"/>
      <c r="H42" s="236">
        <v>1210</v>
      </c>
      <c r="I42" s="237" t="s">
        <v>240</v>
      </c>
      <c r="J42" s="237" t="s">
        <v>240</v>
      </c>
      <c r="L42" s="219"/>
    </row>
    <row r="43" spans="1:13" s="218" customFormat="1" ht="15.5" x14ac:dyDescent="0.25">
      <c r="A43" s="214">
        <f>ROUNDUP('Design Regulator'!E35/47,0)</f>
        <v>5</v>
      </c>
      <c r="B43" s="233" t="s">
        <v>245</v>
      </c>
      <c r="C43" s="240">
        <v>47</v>
      </c>
      <c r="D43" s="820">
        <f>C43</f>
        <v>47</v>
      </c>
      <c r="E43" s="821"/>
      <c r="F43" s="821"/>
      <c r="G43" s="235"/>
      <c r="H43" s="236">
        <v>1210</v>
      </c>
      <c r="I43" s="237" t="s">
        <v>240</v>
      </c>
      <c r="J43" s="237" t="s">
        <v>240</v>
      </c>
      <c r="L43" s="219"/>
    </row>
    <row r="44" spans="1:13" s="218" customFormat="1" ht="15.5" x14ac:dyDescent="0.25">
      <c r="A44" s="225">
        <v>2</v>
      </c>
      <c r="B44" s="226" t="s">
        <v>744</v>
      </c>
      <c r="C44" s="239">
        <v>2.2000000000000002</v>
      </c>
      <c r="D44" s="822">
        <f t="shared" si="0"/>
        <v>2.2000000000000002</v>
      </c>
      <c r="E44" s="823"/>
      <c r="F44" s="823"/>
      <c r="G44" s="238"/>
      <c r="H44" s="228" t="s">
        <v>243</v>
      </c>
      <c r="I44" s="229" t="s">
        <v>240</v>
      </c>
      <c r="J44" s="229" t="s">
        <v>240</v>
      </c>
      <c r="L44" s="219"/>
    </row>
    <row r="45" spans="1:13" s="218" customFormat="1" ht="15.5" x14ac:dyDescent="0.25">
      <c r="A45" s="225">
        <v>1</v>
      </c>
      <c r="B45" s="226" t="s">
        <v>678</v>
      </c>
      <c r="C45" s="239">
        <v>0.47</v>
      </c>
      <c r="D45" s="822">
        <f t="shared" si="0"/>
        <v>0.47</v>
      </c>
      <c r="E45" s="823"/>
      <c r="F45" s="823"/>
      <c r="G45" s="238"/>
      <c r="H45" s="228" t="s">
        <v>243</v>
      </c>
      <c r="I45" s="229" t="s">
        <v>240</v>
      </c>
      <c r="J45" s="229" t="s">
        <v>240</v>
      </c>
      <c r="L45" s="219"/>
    </row>
    <row r="46" spans="1:13" s="218" customFormat="1" ht="15.5" x14ac:dyDescent="0.25">
      <c r="A46" s="214">
        <v>1</v>
      </c>
      <c r="B46" s="233" t="s">
        <v>745</v>
      </c>
      <c r="C46" s="243">
        <f>'Design Regulator'!E27</f>
        <v>6.8</v>
      </c>
      <c r="D46" s="813" t="str">
        <f>"Inductor, "&amp;Lf*1000000&amp;"µH, "&amp;Rdcr*1000&amp;"mΩ, &gt;"&amp;ROUNDUP(Ilimit_DC*1.1,0)&amp;"A"</f>
        <v>Inductor, 6.8µH, 3.5mΩ, &gt;1A</v>
      </c>
      <c r="E46" s="814"/>
      <c r="F46" s="814"/>
      <c r="G46" s="815"/>
      <c r="H46" s="237" t="s">
        <v>249</v>
      </c>
      <c r="I46" s="237" t="s">
        <v>249</v>
      </c>
      <c r="J46" s="237" t="s">
        <v>248</v>
      </c>
      <c r="L46" s="219"/>
    </row>
    <row r="47" spans="1:13" s="218" customFormat="1" ht="15.5" x14ac:dyDescent="0.25">
      <c r="A47" s="225">
        <v>2</v>
      </c>
      <c r="B47" s="226" t="s">
        <v>507</v>
      </c>
      <c r="C47" s="242" t="s">
        <v>241</v>
      </c>
      <c r="D47" s="807">
        <f>'Design Regulator'!E82</f>
        <v>12</v>
      </c>
      <c r="E47" s="808"/>
      <c r="F47" s="808"/>
      <c r="G47" s="809"/>
      <c r="H47" s="229" t="s">
        <v>240</v>
      </c>
      <c r="I47" s="229" t="str">
        <f>'Design Regulator'!E80</f>
        <v>'852, '824</v>
      </c>
      <c r="J47" s="229" t="s">
        <v>249</v>
      </c>
      <c r="L47" s="219"/>
    </row>
    <row r="48" spans="1:13" s="218" customFormat="1" ht="15.5" x14ac:dyDescent="0.25">
      <c r="A48" s="220">
        <v>1</v>
      </c>
      <c r="B48" s="221" t="s">
        <v>941</v>
      </c>
      <c r="C48" s="222">
        <f>'Design Regulator'!D71</f>
        <v>45.3</v>
      </c>
      <c r="D48" s="804">
        <f t="shared" ref="D48:D55" si="1">C48</f>
        <v>45.3</v>
      </c>
      <c r="E48" s="805"/>
      <c r="F48" s="805"/>
      <c r="G48" s="806"/>
      <c r="H48" s="223" t="s">
        <v>243</v>
      </c>
      <c r="I48" s="224" t="s">
        <v>240</v>
      </c>
      <c r="J48" s="224" t="s">
        <v>240</v>
      </c>
      <c r="L48" s="219"/>
    </row>
    <row r="49" spans="1:12" s="218" customFormat="1" ht="15.5" x14ac:dyDescent="0.25">
      <c r="A49" s="220">
        <v>1</v>
      </c>
      <c r="B49" s="221" t="s">
        <v>746</v>
      </c>
      <c r="C49" s="426">
        <f>Rs*1000</f>
        <v>25</v>
      </c>
      <c r="D49" s="810">
        <f t="shared" si="1"/>
        <v>25</v>
      </c>
      <c r="E49" s="811"/>
      <c r="F49" s="811"/>
      <c r="G49" s="812"/>
      <c r="H49" s="223" t="s">
        <v>677</v>
      </c>
      <c r="I49" s="224" t="s">
        <v>240</v>
      </c>
      <c r="J49" s="224" t="s">
        <v>240</v>
      </c>
      <c r="L49" s="219"/>
    </row>
    <row r="50" spans="1:12" s="218" customFormat="1" ht="15.5" x14ac:dyDescent="0.25">
      <c r="A50" s="220">
        <v>1</v>
      </c>
      <c r="B50" s="221" t="s">
        <v>447</v>
      </c>
      <c r="C50" s="222">
        <f>'Design Regulator'!E12</f>
        <v>53.6</v>
      </c>
      <c r="D50" s="804">
        <f t="shared" si="1"/>
        <v>53.6</v>
      </c>
      <c r="E50" s="805"/>
      <c r="F50" s="805"/>
      <c r="G50" s="806"/>
      <c r="H50" s="223" t="s">
        <v>243</v>
      </c>
      <c r="I50" s="224" t="s">
        <v>240</v>
      </c>
      <c r="J50" s="224" t="s">
        <v>240</v>
      </c>
      <c r="L50" s="219"/>
    </row>
    <row r="51" spans="1:12" s="218" customFormat="1" ht="15.5" x14ac:dyDescent="0.25">
      <c r="A51" s="220">
        <v>1</v>
      </c>
      <c r="B51" s="221" t="s">
        <v>251</v>
      </c>
      <c r="C51" s="222">
        <f>'Design Regulator'!E65</f>
        <v>78.7</v>
      </c>
      <c r="D51" s="804">
        <f t="shared" ref="D51" si="2">C51</f>
        <v>78.7</v>
      </c>
      <c r="E51" s="805"/>
      <c r="F51" s="805"/>
      <c r="G51" s="806"/>
      <c r="H51" s="223" t="s">
        <v>243</v>
      </c>
      <c r="I51" s="224" t="s">
        <v>240</v>
      </c>
      <c r="J51" s="224" t="s">
        <v>240</v>
      </c>
      <c r="L51" s="219"/>
    </row>
    <row r="52" spans="1:12" s="218" customFormat="1" ht="15.5" x14ac:dyDescent="0.25">
      <c r="A52" s="220">
        <v>1</v>
      </c>
      <c r="B52" s="221" t="s">
        <v>252</v>
      </c>
      <c r="C52" s="222">
        <f>'Design Regulator'!E66</f>
        <v>792</v>
      </c>
      <c r="D52" s="804">
        <f t="shared" ref="D52" si="3">C52</f>
        <v>792</v>
      </c>
      <c r="E52" s="805"/>
      <c r="F52" s="805"/>
      <c r="G52" s="806"/>
      <c r="H52" s="223" t="s">
        <v>243</v>
      </c>
      <c r="I52" s="224" t="s">
        <v>240</v>
      </c>
      <c r="J52" s="224" t="s">
        <v>240</v>
      </c>
      <c r="L52" s="219"/>
    </row>
    <row r="53" spans="1:12" s="218" customFormat="1" ht="15.5" x14ac:dyDescent="0.25">
      <c r="A53" s="225">
        <v>1</v>
      </c>
      <c r="B53" s="226" t="s">
        <v>942</v>
      </c>
      <c r="C53" s="227">
        <v>100</v>
      </c>
      <c r="D53" s="801">
        <f t="shared" si="1"/>
        <v>100</v>
      </c>
      <c r="E53" s="802"/>
      <c r="F53" s="802"/>
      <c r="G53" s="803"/>
      <c r="H53" s="228" t="s">
        <v>243</v>
      </c>
      <c r="I53" s="229" t="s">
        <v>240</v>
      </c>
      <c r="J53" s="229" t="s">
        <v>240</v>
      </c>
      <c r="L53" s="219"/>
    </row>
    <row r="54" spans="1:12" s="424" customFormat="1" ht="15.5" x14ac:dyDescent="0.25">
      <c r="A54" s="225">
        <v>1</v>
      </c>
      <c r="B54" s="226" t="s">
        <v>756</v>
      </c>
      <c r="C54" s="242">
        <v>100</v>
      </c>
      <c r="D54" s="828">
        <f t="shared" si="1"/>
        <v>100</v>
      </c>
      <c r="E54" s="829"/>
      <c r="F54" s="829"/>
      <c r="G54" s="830"/>
      <c r="H54" s="228" t="s">
        <v>243</v>
      </c>
      <c r="I54" s="229" t="s">
        <v>240</v>
      </c>
      <c r="J54" s="229" t="s">
        <v>240</v>
      </c>
      <c r="L54" s="425"/>
    </row>
    <row r="55" spans="1:12" s="218" customFormat="1" ht="15.5" x14ac:dyDescent="0.25">
      <c r="A55" s="225">
        <v>1</v>
      </c>
      <c r="B55" s="226" t="s">
        <v>250</v>
      </c>
      <c r="C55" s="242">
        <v>2.2000000000000002</v>
      </c>
      <c r="D55" s="828">
        <f t="shared" si="1"/>
        <v>2.2000000000000002</v>
      </c>
      <c r="E55" s="829"/>
      <c r="F55" s="829"/>
      <c r="G55" s="830"/>
      <c r="H55" s="228" t="s">
        <v>243</v>
      </c>
      <c r="I55" s="229" t="s">
        <v>240</v>
      </c>
      <c r="J55" s="229" t="s">
        <v>240</v>
      </c>
      <c r="L55" s="219"/>
    </row>
    <row r="56" spans="1:12" s="218" customFormat="1" ht="14.25" customHeight="1" x14ac:dyDescent="0.25">
      <c r="A56" s="831">
        <v>1</v>
      </c>
      <c r="B56" s="843" t="s">
        <v>253</v>
      </c>
      <c r="C56" s="841" t="str">
        <f>'Variable Management'!P29</f>
        <v>LM25148-Q1</v>
      </c>
      <c r="D56" s="835" t="str">
        <f>CHOOSE(VARIANT, "IC, LM5148, Synchronous Buck PWM Controller, 3.5V–80V Input", "IC, LM5148-Q1, Synchronous Buck PWM Controller, 3.5V–80V Input", "IC, LM25148, Synchronous Buck PWM Controller, 3.5V–42V Input",  "IC, LM25148-Q1, Synchronous Buck PWM Controller, 3.5V–42V Input")</f>
        <v>IC, LM25148-Q1, Synchronous Buck PWM Controller, 3.5V–42V Input</v>
      </c>
      <c r="E56" s="836"/>
      <c r="F56" s="836"/>
      <c r="G56" s="837"/>
      <c r="H56" s="845" t="s">
        <v>757</v>
      </c>
      <c r="I56" s="841" t="str">
        <f>CHOOSE(VARIANT, "LM5148RGYR", "LM5148QRGYRQ1", "LM25148RGYR", "LM25148QRGYRQ1")</f>
        <v>LM25148QRGYRQ1</v>
      </c>
      <c r="J56" s="833" t="s">
        <v>242</v>
      </c>
      <c r="L56" s="219"/>
    </row>
    <row r="57" spans="1:12" x14ac:dyDescent="0.25">
      <c r="A57" s="832"/>
      <c r="B57" s="844"/>
      <c r="C57" s="842"/>
      <c r="D57" s="838"/>
      <c r="E57" s="839"/>
      <c r="F57" s="839"/>
      <c r="G57" s="840"/>
      <c r="H57" s="846"/>
      <c r="I57" s="842"/>
      <c r="J57" s="834"/>
    </row>
    <row r="59" spans="1:12" ht="13" x14ac:dyDescent="0.3">
      <c r="A59" s="251" t="s">
        <v>261</v>
      </c>
    </row>
    <row r="60" spans="1:12" ht="17.149999999999999" customHeight="1" x14ac:dyDescent="0.25">
      <c r="A60" s="211" t="s">
        <v>448</v>
      </c>
    </row>
    <row r="61" spans="1:12" ht="17.149999999999999" customHeight="1" x14ac:dyDescent="0.25">
      <c r="A61" s="211" t="s">
        <v>951</v>
      </c>
    </row>
  </sheetData>
  <sheetProtection algorithmName="SHA-512" hashValue="BzucQA+KWiQvL07lfQEK93VBOPFTS/R1HaMt60aHxK8pazY0cozuTZIJLoeWzg3Ri1oWcB3r8QJ+z+htLdVPEw==" saltValue="KXDqQqxHUhvDm5V30XJqdw==" spinCount="100000" sheet="1" objects="1" scenarios="1" selectLockedCells="1" selectUnlockedCells="1"/>
  <mergeCells count="25">
    <mergeCell ref="D55:G55"/>
    <mergeCell ref="D54:G54"/>
    <mergeCell ref="D48:G48"/>
    <mergeCell ref="A56:A57"/>
    <mergeCell ref="J56:J57"/>
    <mergeCell ref="D56:G57"/>
    <mergeCell ref="C56:C57"/>
    <mergeCell ref="B56:B57"/>
    <mergeCell ref="H56:H57"/>
    <mergeCell ref="I56:I57"/>
    <mergeCell ref="D38:G38"/>
    <mergeCell ref="D53:G53"/>
    <mergeCell ref="D51:G51"/>
    <mergeCell ref="D52:G52"/>
    <mergeCell ref="D47:G47"/>
    <mergeCell ref="D50:G50"/>
    <mergeCell ref="D49:G49"/>
    <mergeCell ref="D46:G46"/>
    <mergeCell ref="D39:F39"/>
    <mergeCell ref="D40:F40"/>
    <mergeCell ref="D43:F43"/>
    <mergeCell ref="D45:F45"/>
    <mergeCell ref="D41:F41"/>
    <mergeCell ref="D44:F44"/>
    <mergeCell ref="D42:F42"/>
  </mergeCells>
  <printOptions horizontalCentered="1"/>
  <pageMargins left="0.23" right="0.23" top="0.7" bottom="0.61" header="0.3" footer="0.5"/>
  <pageSetup scale="46" fitToHeight="2" orientation="landscape" r:id="rId1"/>
  <headerFooter alignWithMargins="0"/>
  <ignoredErrors>
    <ignoredError sqref="H39:H41 H45 H46 H53:H54 H44 H48 H50:H52 H49 H55" numberStoredAsText="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pageSetUpPr fitToPage="1"/>
  </sheetPr>
  <dimension ref="A1:W6"/>
  <sheetViews>
    <sheetView topLeftCell="A4" zoomScale="85" zoomScaleNormal="85" zoomScaleSheetLayoutView="80" workbookViewId="0">
      <selection activeCell="K6" sqref="K6"/>
    </sheetView>
  </sheetViews>
  <sheetFormatPr defaultColWidth="9.08984375" defaultRowHeight="12.5" x14ac:dyDescent="0.25"/>
  <cols>
    <col min="1" max="13" width="9.08984375" style="120"/>
    <col min="14" max="14" width="11.6328125" style="120" customWidth="1"/>
    <col min="15" max="16" width="9.08984375" style="120"/>
    <col min="17" max="17" width="15.6328125" style="120" customWidth="1"/>
    <col min="18" max="16384" width="9.08984375" style="120"/>
  </cols>
  <sheetData>
    <row r="1" spans="1:23" s="112" customFormat="1" ht="47.25" customHeight="1" x14ac:dyDescent="0.3">
      <c r="A1" s="847" t="s">
        <v>915</v>
      </c>
      <c r="B1" s="848"/>
      <c r="C1" s="848"/>
      <c r="D1" s="848"/>
      <c r="E1" s="848"/>
      <c r="F1" s="848"/>
      <c r="G1" s="848"/>
      <c r="H1" s="848"/>
      <c r="I1" s="848"/>
      <c r="J1" s="848"/>
      <c r="K1" s="848"/>
      <c r="L1" s="848"/>
      <c r="M1" s="848"/>
      <c r="N1" s="848"/>
      <c r="O1" s="848"/>
      <c r="P1" s="848"/>
      <c r="Q1" s="848"/>
    </row>
    <row r="6" spans="1:23" ht="20" x14ac:dyDescent="0.4">
      <c r="B6" s="121" t="s">
        <v>916</v>
      </c>
      <c r="M6" s="121"/>
      <c r="W6" s="121"/>
    </row>
  </sheetData>
  <sheetProtection algorithmName="SHA-512" hashValue="T57Nb+KuWMbHaKZuvLh7d5qoN4vNFcMfwIUMI8R8liSMGVOrdmehOPAlNkCUQ/8uwEodfY+QreP6v/GrEyJ3MA==" saltValue="LWRDTVNykMeRmU5ul2MsEg==" spinCount="100000" sheet="1" objects="1" scenarios="1" selectLockedCells="1"/>
  <mergeCells count="1">
    <mergeCell ref="A1:Q1"/>
  </mergeCells>
  <pageMargins left="0.19" right="0.2" top="0.75" bottom="0.75" header="0.3" footer="0.3"/>
  <pageSetup scale="30" orientation="portrait" r:id="rId1"/>
  <drawing r:id="rId2"/>
  <legacyDrawing r:id="rId3"/>
  <oleObjects>
    <mc:AlternateContent xmlns:mc="http://schemas.openxmlformats.org/markup-compatibility/2006">
      <mc:Choice Requires="x14">
        <oleObject progId="Visio.Drawing.15" shapeId="819203" r:id="rId4">
          <objectPr defaultSize="0" r:id="rId5">
            <anchor moveWithCells="1">
              <from>
                <xdr:col>13</xdr:col>
                <xdr:colOff>101600</xdr:colOff>
                <xdr:row>9</xdr:row>
                <xdr:rowOff>76200</xdr:rowOff>
              </from>
              <to>
                <xdr:col>24</xdr:col>
                <xdr:colOff>228600</xdr:colOff>
                <xdr:row>36</xdr:row>
                <xdr:rowOff>76200</xdr:rowOff>
              </to>
            </anchor>
          </objectPr>
        </oleObject>
      </mc:Choice>
      <mc:Fallback>
        <oleObject progId="Visio.Drawing.15" shapeId="819203" r:id="rId4"/>
      </mc:Fallback>
    </mc:AlternateContent>
    <mc:AlternateContent xmlns:mc="http://schemas.openxmlformats.org/markup-compatibility/2006">
      <mc:Choice Requires="x14">
        <oleObject progId="Visio.Drawing.15" shapeId="819207" r:id="rId6">
          <objectPr defaultSize="0" r:id="rId7">
            <anchor moveWithCells="1">
              <from>
                <xdr:col>13</xdr:col>
                <xdr:colOff>139700</xdr:colOff>
                <xdr:row>69</xdr:row>
                <xdr:rowOff>101600</xdr:rowOff>
              </from>
              <to>
                <xdr:col>24</xdr:col>
                <xdr:colOff>139700</xdr:colOff>
                <xdr:row>96</xdr:row>
                <xdr:rowOff>69850</xdr:rowOff>
              </to>
            </anchor>
          </objectPr>
        </oleObject>
      </mc:Choice>
      <mc:Fallback>
        <oleObject progId="Visio.Drawing.15" shapeId="819207" r:id="rId6"/>
      </mc:Fallback>
    </mc:AlternateContent>
    <mc:AlternateContent xmlns:mc="http://schemas.openxmlformats.org/markup-compatibility/2006">
      <mc:Choice Requires="x14">
        <oleObject progId="Visio.Drawing.15" shapeId="819208" r:id="rId8">
          <objectPr defaultSize="0" r:id="rId9">
            <anchor moveWithCells="1">
              <from>
                <xdr:col>13</xdr:col>
                <xdr:colOff>101600</xdr:colOff>
                <xdr:row>40</xdr:row>
                <xdr:rowOff>63500</xdr:rowOff>
              </from>
              <to>
                <xdr:col>24</xdr:col>
                <xdr:colOff>107950</xdr:colOff>
                <xdr:row>67</xdr:row>
                <xdr:rowOff>25400</xdr:rowOff>
              </to>
            </anchor>
          </objectPr>
        </oleObject>
      </mc:Choice>
      <mc:Fallback>
        <oleObject progId="Visio.Drawing.15" shapeId="819208" r:id="rId8"/>
      </mc:Fallback>
    </mc:AlternateContent>
    <mc:AlternateContent xmlns:mc="http://schemas.openxmlformats.org/markup-compatibility/2006">
      <mc:Choice Requires="x14">
        <oleObject progId="Visio.Drawing.15" shapeId="819209" r:id="rId10">
          <objectPr defaultSize="0" r:id="rId11">
            <anchor moveWithCells="1">
              <from>
                <xdr:col>0</xdr:col>
                <xdr:colOff>336550</xdr:colOff>
                <xdr:row>40</xdr:row>
                <xdr:rowOff>63500</xdr:rowOff>
              </from>
              <to>
                <xdr:col>12</xdr:col>
                <xdr:colOff>444500</xdr:colOff>
                <xdr:row>67</xdr:row>
                <xdr:rowOff>63500</xdr:rowOff>
              </to>
            </anchor>
          </objectPr>
        </oleObject>
      </mc:Choice>
      <mc:Fallback>
        <oleObject progId="Visio.Drawing.15" shapeId="819209" r:id="rId10"/>
      </mc:Fallback>
    </mc:AlternateContent>
    <mc:AlternateContent xmlns:mc="http://schemas.openxmlformats.org/markup-compatibility/2006">
      <mc:Choice Requires="x14">
        <oleObject progId="Visio.Drawing.15" shapeId="819210" r:id="rId12">
          <objectPr defaultSize="0" autoPict="0" r:id="rId13">
            <anchor moveWithCells="1">
              <from>
                <xdr:col>0</xdr:col>
                <xdr:colOff>342900</xdr:colOff>
                <xdr:row>69</xdr:row>
                <xdr:rowOff>114300</xdr:rowOff>
              </from>
              <to>
                <xdr:col>12</xdr:col>
                <xdr:colOff>381000</xdr:colOff>
                <xdr:row>96</xdr:row>
                <xdr:rowOff>63500</xdr:rowOff>
              </to>
            </anchor>
          </objectPr>
        </oleObject>
      </mc:Choice>
      <mc:Fallback>
        <oleObject progId="Visio.Drawing.15" shapeId="819210" r:id="rId12"/>
      </mc:Fallback>
    </mc:AlternateContent>
    <mc:AlternateContent xmlns:mc="http://schemas.openxmlformats.org/markup-compatibility/2006">
      <mc:Choice Requires="x14">
        <oleObject progId="Visio.Drawing.15" shapeId="819211" r:id="rId14">
          <objectPr defaultSize="0" autoPict="0" r:id="rId15">
            <anchor moveWithCells="1">
              <from>
                <xdr:col>0</xdr:col>
                <xdr:colOff>406400</xdr:colOff>
                <xdr:row>9</xdr:row>
                <xdr:rowOff>76200</xdr:rowOff>
              </from>
              <to>
                <xdr:col>12</xdr:col>
                <xdr:colOff>444500</xdr:colOff>
                <xdr:row>36</xdr:row>
                <xdr:rowOff>31750</xdr:rowOff>
              </to>
            </anchor>
          </objectPr>
        </oleObject>
      </mc:Choice>
      <mc:Fallback>
        <oleObject progId="Visio.Drawing.15" shapeId="819211" r:id="rId14"/>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A452"/>
  <sheetViews>
    <sheetView zoomScale="115" zoomScaleNormal="115" workbookViewId="0">
      <pane ySplit="5" topLeftCell="A54" activePane="bottomLeft" state="frozenSplit"/>
      <selection pane="bottomLeft" activeCell="B68" sqref="B68"/>
    </sheetView>
  </sheetViews>
  <sheetFormatPr defaultRowHeight="13" x14ac:dyDescent="0.3"/>
  <cols>
    <col min="1" max="1" width="34.08984375" customWidth="1"/>
    <col min="2" max="2" width="12" customWidth="1"/>
    <col min="3" max="3" width="12.08984375" style="2" customWidth="1"/>
    <col min="4" max="4" width="16.6328125" customWidth="1"/>
    <col min="5" max="5" width="11.54296875" customWidth="1"/>
    <col min="6" max="6" width="12.453125" bestFit="1" customWidth="1"/>
    <col min="7" max="7" width="17.453125" customWidth="1"/>
    <col min="8" max="8" width="34.6328125" customWidth="1"/>
    <col min="9" max="9" width="11.6328125" customWidth="1"/>
    <col min="10" max="10" width="12.453125" bestFit="1" customWidth="1"/>
    <col min="11" max="11" width="15.08984375" customWidth="1"/>
    <col min="12" max="12" width="13.36328125" customWidth="1"/>
    <col min="14" max="14" width="8.6328125" customWidth="1"/>
    <col min="15" max="15" width="11.08984375" customWidth="1"/>
    <col min="16" max="16" width="12.6328125" customWidth="1"/>
    <col min="23" max="23" width="13.36328125" customWidth="1"/>
    <col min="25" max="25" width="12.453125" customWidth="1"/>
  </cols>
  <sheetData>
    <row r="1" spans="1:27" ht="30.75" customHeight="1" x14ac:dyDescent="0.6">
      <c r="A1" s="850" t="s">
        <v>380</v>
      </c>
      <c r="B1" s="850"/>
      <c r="C1" s="850"/>
      <c r="D1" s="850"/>
      <c r="E1" s="850"/>
      <c r="F1" s="850"/>
      <c r="G1" s="850"/>
      <c r="H1" s="850"/>
      <c r="I1" s="850"/>
    </row>
    <row r="2" spans="1:27" ht="12" customHeight="1" x14ac:dyDescent="0.3">
      <c r="A2" s="49"/>
      <c r="B2" s="49" t="s">
        <v>188</v>
      </c>
      <c r="C2" s="50"/>
      <c r="E2" s="49"/>
      <c r="F2" s="49"/>
      <c r="G2" s="49"/>
      <c r="H2" s="49"/>
      <c r="I2" s="49"/>
    </row>
    <row r="3" spans="1:27" ht="11.25" customHeight="1" x14ac:dyDescent="0.3">
      <c r="A3" s="49"/>
      <c r="B3" s="49" t="s">
        <v>220</v>
      </c>
      <c r="C3" s="51"/>
      <c r="E3" s="49"/>
      <c r="F3" s="49"/>
      <c r="G3" s="49"/>
      <c r="H3" s="49"/>
      <c r="I3" s="49"/>
    </row>
    <row r="4" spans="1:27" ht="11.25" customHeight="1" x14ac:dyDescent="0.3">
      <c r="A4" s="49"/>
      <c r="B4" s="49" t="s">
        <v>189</v>
      </c>
      <c r="C4" s="52"/>
      <c r="E4" s="49"/>
      <c r="F4" s="49"/>
      <c r="G4" s="49"/>
      <c r="H4" s="49"/>
      <c r="I4" s="49"/>
    </row>
    <row r="5" spans="1:27" x14ac:dyDescent="0.3">
      <c r="A5" s="2" t="s">
        <v>47</v>
      </c>
      <c r="B5" s="2" t="s">
        <v>7</v>
      </c>
      <c r="C5" s="2" t="s">
        <v>8</v>
      </c>
      <c r="E5" s="849" t="s">
        <v>12</v>
      </c>
      <c r="F5" s="849"/>
      <c r="G5" s="849"/>
      <c r="H5" s="849"/>
      <c r="I5" s="2" t="s">
        <v>401</v>
      </c>
    </row>
    <row r="6" spans="1:27" ht="16" thickBot="1" x14ac:dyDescent="0.4">
      <c r="A6" s="509" t="s">
        <v>147</v>
      </c>
      <c r="B6" s="2"/>
      <c r="D6" s="2"/>
      <c r="E6" s="49"/>
      <c r="F6" s="49"/>
      <c r="G6" s="49"/>
      <c r="H6" s="49"/>
      <c r="I6" s="2"/>
    </row>
    <row r="7" spans="1:27" ht="12.5" x14ac:dyDescent="0.25">
      <c r="A7" s="208" t="s">
        <v>278</v>
      </c>
      <c r="B7" s="12">
        <f>'Design Regulator'!E6</f>
        <v>5</v>
      </c>
      <c r="C7" s="63" t="s">
        <v>0</v>
      </c>
      <c r="D7" s="116" t="s">
        <v>279</v>
      </c>
      <c r="E7" s="63"/>
      <c r="F7" s="63"/>
      <c r="G7" s="63"/>
      <c r="H7" s="63"/>
      <c r="I7" s="64">
        <v>1</v>
      </c>
    </row>
    <row r="8" spans="1:27" ht="12.5" x14ac:dyDescent="0.25">
      <c r="A8" s="209" t="s">
        <v>594</v>
      </c>
      <c r="B8" s="29">
        <f>'Design Regulator'!E7</f>
        <v>6.6</v>
      </c>
      <c r="C8" t="s">
        <v>0</v>
      </c>
      <c r="D8" t="s">
        <v>13</v>
      </c>
      <c r="I8" s="57"/>
      <c r="K8" s="285" t="str">
        <f>CHOOSE(SCH_MODE, "Efficiency vs. IOUT (Ch1)", "Efficiency vs. IOUT - 2 Ph", "Efficiency vs. IOUT - 3 Ph", "Efficiency vs. IOUT - 4 Ph")</f>
        <v>Efficiency vs. IOUT (Ch1)</v>
      </c>
      <c r="L8" s="115">
        <v>1</v>
      </c>
      <c r="N8" s="285" t="s">
        <v>927</v>
      </c>
      <c r="O8" s="115">
        <v>1</v>
      </c>
      <c r="T8" s="285" t="s">
        <v>684</v>
      </c>
      <c r="U8" s="115">
        <v>1</v>
      </c>
      <c r="W8" s="285" t="s">
        <v>627</v>
      </c>
      <c r="X8" s="115">
        <v>1</v>
      </c>
      <c r="Z8" s="285" t="str">
        <f>CHOOSE(SCH_MODE, "Bode Plot (Ch1)", "Bode Plot - 2 Ph", "Bode Plot - 3 Ph", "Bode Plot - 4 Ph")</f>
        <v>Bode Plot (Ch1)</v>
      </c>
      <c r="AA8" s="115">
        <v>1</v>
      </c>
    </row>
    <row r="9" spans="1:27" ht="12.5" x14ac:dyDescent="0.25">
      <c r="A9" s="209" t="s">
        <v>277</v>
      </c>
      <c r="B9" s="29">
        <f>'Design Regulator'!E8</f>
        <v>7.4</v>
      </c>
      <c r="C9" t="s">
        <v>0</v>
      </c>
      <c r="D9" s="113" t="s">
        <v>280</v>
      </c>
      <c r="I9" s="57"/>
      <c r="K9" s="285" t="str">
        <f>IF(MODE=1, "Efficiency vs. IOUT (Ch2)", "N/A - Do Not Use")</f>
        <v>Efficiency vs. IOUT (Ch2)</v>
      </c>
      <c r="L9" s="115">
        <v>2</v>
      </c>
      <c r="N9" s="285" t="s">
        <v>928</v>
      </c>
      <c r="O9" s="115">
        <v>2</v>
      </c>
      <c r="T9" s="285" t="s">
        <v>685</v>
      </c>
      <c r="U9" s="115">
        <v>2</v>
      </c>
      <c r="W9" s="285" t="s">
        <v>856</v>
      </c>
      <c r="X9" s="115">
        <v>2</v>
      </c>
      <c r="Z9" s="285" t="str">
        <f>IF(MODE=1, "AEF Gain", "N/A - Do Not Use")</f>
        <v>AEF Gain</v>
      </c>
      <c r="AA9" s="115">
        <v>2</v>
      </c>
    </row>
    <row r="10" spans="1:27" x14ac:dyDescent="0.3">
      <c r="A10" s="209"/>
      <c r="B10" s="4"/>
      <c r="C10"/>
      <c r="D10" s="113"/>
      <c r="I10" s="57"/>
      <c r="K10" s="519" t="s">
        <v>566</v>
      </c>
      <c r="L10" s="520">
        <v>1</v>
      </c>
      <c r="N10" s="519" t="s">
        <v>929</v>
      </c>
      <c r="O10" s="520">
        <v>1</v>
      </c>
      <c r="P10" s="113" t="s">
        <v>584</v>
      </c>
      <c r="T10" s="285" t="s">
        <v>686</v>
      </c>
      <c r="U10" s="115">
        <v>3</v>
      </c>
      <c r="W10" s="519" t="s">
        <v>857</v>
      </c>
      <c r="X10" s="520">
        <v>1</v>
      </c>
      <c r="Z10" s="519" t="s">
        <v>688</v>
      </c>
      <c r="AA10" s="520">
        <v>1</v>
      </c>
    </row>
    <row r="11" spans="1:27" ht="12.5" x14ac:dyDescent="0.25">
      <c r="A11" s="56" t="s">
        <v>4</v>
      </c>
      <c r="B11" s="29">
        <f>'Design Regulator'!E9</f>
        <v>3.3</v>
      </c>
      <c r="C11" t="s">
        <v>0</v>
      </c>
      <c r="D11" s="113" t="s">
        <v>598</v>
      </c>
      <c r="I11" s="57"/>
      <c r="T11" s="285" t="s">
        <v>687</v>
      </c>
      <c r="U11" s="115">
        <v>4</v>
      </c>
      <c r="V11" s="113"/>
    </row>
    <row r="12" spans="1:27" x14ac:dyDescent="0.3">
      <c r="A12" s="56" t="s">
        <v>5</v>
      </c>
      <c r="B12" s="29">
        <f>'Design Regulator'!E10</f>
        <v>1.5</v>
      </c>
      <c r="C12" t="s">
        <v>1</v>
      </c>
      <c r="D12" s="113" t="s">
        <v>599</v>
      </c>
      <c r="I12" s="57">
        <v>1</v>
      </c>
      <c r="T12" s="519" t="s">
        <v>597</v>
      </c>
      <c r="U12" s="520">
        <v>1</v>
      </c>
      <c r="V12" s="113"/>
    </row>
    <row r="13" spans="1:27" x14ac:dyDescent="0.3">
      <c r="A13" s="209"/>
      <c r="C13"/>
      <c r="D13" s="113"/>
      <c r="I13" s="57">
        <v>1</v>
      </c>
      <c r="K13" s="285" t="s">
        <v>646</v>
      </c>
      <c r="L13" s="115">
        <v>1</v>
      </c>
      <c r="N13" s="285" t="s">
        <v>644</v>
      </c>
      <c r="O13" s="115">
        <v>1</v>
      </c>
      <c r="T13" s="561" t="s">
        <v>696</v>
      </c>
      <c r="U13" s="559">
        <f>IF(U12=1, 1, 2)</f>
        <v>1</v>
      </c>
      <c r="V13" s="113"/>
      <c r="W13" s="285" t="s">
        <v>704</v>
      </c>
      <c r="X13" s="115">
        <v>1</v>
      </c>
    </row>
    <row r="14" spans="1:27" x14ac:dyDescent="0.3">
      <c r="A14" s="209" t="s">
        <v>313</v>
      </c>
      <c r="B14" s="504">
        <f>Vout/Iout</f>
        <v>2.1999999999999997</v>
      </c>
      <c r="C14" s="210" t="s">
        <v>116</v>
      </c>
      <c r="D14" s="113" t="s">
        <v>595</v>
      </c>
      <c r="I14" s="57"/>
      <c r="K14" s="285" t="s">
        <v>645</v>
      </c>
      <c r="L14" s="115">
        <v>2</v>
      </c>
      <c r="N14" s="285" t="s">
        <v>645</v>
      </c>
      <c r="O14" s="115">
        <v>2</v>
      </c>
      <c r="T14" s="287" t="s">
        <v>695</v>
      </c>
      <c r="U14" s="562">
        <f>IF(U12=1, 2, 1)</f>
        <v>2</v>
      </c>
      <c r="W14" s="285" t="s">
        <v>705</v>
      </c>
      <c r="X14" s="115">
        <v>2</v>
      </c>
    </row>
    <row r="15" spans="1:27" x14ac:dyDescent="0.3">
      <c r="A15" s="209"/>
      <c r="B15" s="504"/>
      <c r="C15" s="210"/>
      <c r="D15" s="113"/>
      <c r="I15" s="57"/>
      <c r="K15" s="285" t="s">
        <v>644</v>
      </c>
      <c r="L15" s="115">
        <v>3</v>
      </c>
      <c r="N15" s="285" t="s">
        <v>646</v>
      </c>
      <c r="O15" s="115">
        <v>3</v>
      </c>
      <c r="T15" s="287" t="s">
        <v>694</v>
      </c>
      <c r="U15" s="290">
        <f>SCH_MODE</f>
        <v>1</v>
      </c>
      <c r="W15" s="519" t="s">
        <v>706</v>
      </c>
      <c r="X15" s="520">
        <v>1</v>
      </c>
    </row>
    <row r="16" spans="1:27" x14ac:dyDescent="0.3">
      <c r="A16" s="209" t="s">
        <v>284</v>
      </c>
      <c r="B16" s="284">
        <f>Vout*Iout</f>
        <v>4.9499999999999993</v>
      </c>
      <c r="C16" t="s">
        <v>116</v>
      </c>
      <c r="D16" s="113" t="s">
        <v>298</v>
      </c>
      <c r="I16" s="57"/>
      <c r="K16" s="285" t="s">
        <v>826</v>
      </c>
      <c r="L16" s="115">
        <v>4</v>
      </c>
      <c r="N16" s="519" t="s">
        <v>926</v>
      </c>
      <c r="O16" s="520">
        <f>IF(Vout2=3.3, 1, IF(Vout2=5, 2, 3))</f>
        <v>3</v>
      </c>
    </row>
    <row r="17" spans="1:27" x14ac:dyDescent="0.3">
      <c r="A17" s="209"/>
      <c r="C17"/>
      <c r="D17" s="113"/>
      <c r="I17" s="57"/>
      <c r="K17" s="519" t="s">
        <v>751</v>
      </c>
      <c r="L17" s="520">
        <f>IF(Vout=3.3, 3, IF(Vout=5, 2,  IF(Vout=12,4,1)))</f>
        <v>3</v>
      </c>
    </row>
    <row r="18" spans="1:27" x14ac:dyDescent="0.3">
      <c r="A18" s="209" t="s">
        <v>127</v>
      </c>
      <c r="B18" s="395">
        <v>0.9</v>
      </c>
      <c r="C18"/>
      <c r="D18" s="113" t="s">
        <v>414</v>
      </c>
      <c r="I18" s="57"/>
      <c r="Y18" s="2"/>
    </row>
    <row r="19" spans="1:27" x14ac:dyDescent="0.3">
      <c r="A19" s="209" t="s">
        <v>288</v>
      </c>
      <c r="B19" s="301">
        <f>Pout/Efficiency</f>
        <v>5.4999999999999991</v>
      </c>
      <c r="C19" t="s">
        <v>116</v>
      </c>
      <c r="D19" s="113" t="s">
        <v>596</v>
      </c>
      <c r="I19" s="57"/>
      <c r="W19" s="285"/>
      <c r="Y19" s="2"/>
      <c r="Z19" s="44" t="s">
        <v>762</v>
      </c>
      <c r="AA19" s="115">
        <v>1</v>
      </c>
    </row>
    <row r="20" spans="1:27" x14ac:dyDescent="0.3">
      <c r="A20" s="209"/>
      <c r="D20" s="113"/>
      <c r="I20" s="57"/>
      <c r="W20" s="285"/>
      <c r="Z20" s="44" t="s">
        <v>761</v>
      </c>
      <c r="AA20" s="115">
        <v>2</v>
      </c>
    </row>
    <row r="21" spans="1:27" x14ac:dyDescent="0.3">
      <c r="A21" s="209" t="s">
        <v>285</v>
      </c>
      <c r="B21" s="296">
        <f>Pin/VIN_min</f>
        <v>1.0999999999999999</v>
      </c>
      <c r="C21" t="s">
        <v>1</v>
      </c>
      <c r="D21" s="113"/>
      <c r="I21" s="57"/>
      <c r="L21">
        <f>Vout</f>
        <v>3.3</v>
      </c>
      <c r="W21" s="519"/>
      <c r="X21" s="350"/>
      <c r="Z21" s="519" t="s">
        <v>763</v>
      </c>
      <c r="AA21" s="520">
        <v>2</v>
      </c>
    </row>
    <row r="22" spans="1:27" ht="12.5" x14ac:dyDescent="0.25">
      <c r="A22" s="209" t="s">
        <v>286</v>
      </c>
      <c r="B22" s="296">
        <f>Pin/VIN_nom</f>
        <v>0.83333333333333326</v>
      </c>
      <c r="C22" t="s">
        <v>1</v>
      </c>
      <c r="D22" s="113" t="s">
        <v>299</v>
      </c>
      <c r="H22" t="b">
        <f>AND(OSC=1, OR(Fsw/1000&gt;2530, Fsw/1000&lt;1800))</f>
        <v>0</v>
      </c>
      <c r="I22" s="57"/>
    </row>
    <row r="23" spans="1:27" ht="12.5" x14ac:dyDescent="0.25">
      <c r="A23" s="209" t="s">
        <v>287</v>
      </c>
      <c r="B23" s="296">
        <f>Pin/VIN_max</f>
        <v>0.74324324324324309</v>
      </c>
      <c r="C23" t="s">
        <v>1</v>
      </c>
      <c r="D23" s="113"/>
      <c r="H23" t="b">
        <f>AND(OSC=2, OR(Fsw/1000&gt;500, Fsw/1000&lt;300))</f>
        <v>0</v>
      </c>
      <c r="I23" s="57"/>
    </row>
    <row r="24" spans="1:27" ht="12.5" x14ac:dyDescent="0.25">
      <c r="A24" s="209"/>
      <c r="C24"/>
      <c r="D24" s="113"/>
      <c r="H24" t="b">
        <f>OR(H22,H23)</f>
        <v>0</v>
      </c>
      <c r="I24" s="57"/>
    </row>
    <row r="25" spans="1:27" x14ac:dyDescent="0.3">
      <c r="A25" s="585" t="s">
        <v>749</v>
      </c>
      <c r="B25" s="299" t="e">
        <f>CHOOSE(OSC, 2200, 440)</f>
        <v>#VALUE!</v>
      </c>
      <c r="C25" s="113" t="s">
        <v>2</v>
      </c>
      <c r="I25" s="57"/>
      <c r="K25" s="285" t="s">
        <v>818</v>
      </c>
      <c r="L25" s="115">
        <v>1</v>
      </c>
      <c r="P25" s="285" t="s">
        <v>930</v>
      </c>
      <c r="Q25" s="290">
        <v>1</v>
      </c>
      <c r="W25" s="285" t="s">
        <v>781</v>
      </c>
      <c r="X25">
        <v>1</v>
      </c>
      <c r="Z25" s="285" t="s">
        <v>869</v>
      </c>
      <c r="AA25" s="115">
        <v>1</v>
      </c>
    </row>
    <row r="26" spans="1:27" x14ac:dyDescent="0.3">
      <c r="A26" s="58" t="s">
        <v>6</v>
      </c>
      <c r="B26" s="252">
        <f>'Design Regulator'!E11*1000</f>
        <v>405680</v>
      </c>
      <c r="C26" s="113" t="s">
        <v>9</v>
      </c>
      <c r="D26" s="113" t="s">
        <v>603</v>
      </c>
      <c r="I26" s="57"/>
      <c r="K26" s="285" t="s">
        <v>820</v>
      </c>
      <c r="L26" s="115">
        <v>2</v>
      </c>
      <c r="P26" s="285" t="s">
        <v>931</v>
      </c>
      <c r="Q26" s="290">
        <v>2</v>
      </c>
      <c r="W26" s="285" t="s">
        <v>782</v>
      </c>
      <c r="X26">
        <v>2</v>
      </c>
      <c r="Z26" s="285" t="s">
        <v>870</v>
      </c>
      <c r="AA26" s="115">
        <v>2</v>
      </c>
    </row>
    <row r="27" spans="1:27" x14ac:dyDescent="0.3">
      <c r="A27" s="113" t="s">
        <v>831</v>
      </c>
      <c r="B27" s="48">
        <f>((1000000000/Fsw)-53)/45+0.1</f>
        <v>53.699934266745551</v>
      </c>
      <c r="C27" s="45" t="s">
        <v>237</v>
      </c>
      <c r="D27" s="113"/>
      <c r="I27" s="57"/>
      <c r="K27" s="285" t="s">
        <v>821</v>
      </c>
      <c r="L27" s="115">
        <v>3</v>
      </c>
      <c r="O27" s="285"/>
      <c r="P27" s="285" t="s">
        <v>932</v>
      </c>
      <c r="Q27" s="290">
        <v>3</v>
      </c>
      <c r="W27" s="285" t="s">
        <v>783</v>
      </c>
      <c r="X27">
        <v>3</v>
      </c>
      <c r="Z27" s="519" t="s">
        <v>871</v>
      </c>
      <c r="AA27" s="115">
        <v>1</v>
      </c>
    </row>
    <row r="28" spans="1:27" x14ac:dyDescent="0.3">
      <c r="A28" s="113"/>
      <c r="B28" s="679"/>
      <c r="C28" s="45" t="s">
        <v>237</v>
      </c>
      <c r="D28" s="113"/>
      <c r="F28" s="113"/>
      <c r="I28" s="57">
        <v>1</v>
      </c>
      <c r="K28" s="285" t="s">
        <v>819</v>
      </c>
      <c r="L28" s="115">
        <v>4</v>
      </c>
      <c r="O28" s="285"/>
      <c r="P28" s="285" t="s">
        <v>933</v>
      </c>
      <c r="Q28" s="290">
        <v>4</v>
      </c>
      <c r="W28" s="519" t="s">
        <v>780</v>
      </c>
      <c r="X28">
        <v>1</v>
      </c>
    </row>
    <row r="29" spans="1:27" x14ac:dyDescent="0.3">
      <c r="A29" s="209" t="s">
        <v>720</v>
      </c>
      <c r="B29" s="512">
        <f>1/Fsw</f>
        <v>2.4649970420035497E-6</v>
      </c>
      <c r="C29" s="113" t="s">
        <v>530</v>
      </c>
      <c r="D29" s="113" t="s">
        <v>600</v>
      </c>
      <c r="I29" s="57"/>
      <c r="K29" s="285" t="s">
        <v>822</v>
      </c>
      <c r="L29" s="115">
        <v>5</v>
      </c>
      <c r="O29" s="520" t="s">
        <v>934</v>
      </c>
      <c r="P29" s="287" t="str">
        <f>CHOOSE(VARIANT, "LM5148", "LM5148-Q1", "LM25148", "LM25148-Q1")</f>
        <v>LM25148-Q1</v>
      </c>
      <c r="Q29" s="520">
        <v>4</v>
      </c>
    </row>
    <row r="30" spans="1:27" x14ac:dyDescent="0.3">
      <c r="A30" s="58" t="s">
        <v>41</v>
      </c>
      <c r="B30" s="59">
        <v>0.8</v>
      </c>
      <c r="C30" t="s">
        <v>0</v>
      </c>
      <c r="D30" s="113" t="s">
        <v>601</v>
      </c>
      <c r="I30" s="57"/>
      <c r="K30" s="285" t="s">
        <v>823</v>
      </c>
      <c r="L30" s="115">
        <v>6</v>
      </c>
      <c r="O30" s="520" t="s">
        <v>935</v>
      </c>
      <c r="P30" s="287">
        <f>CHOOSE(VARIANT, 80, 80, 42, 42)</f>
        <v>42</v>
      </c>
      <c r="Q30" t="s">
        <v>0</v>
      </c>
    </row>
    <row r="31" spans="1:27" ht="13.5" thickBot="1" x14ac:dyDescent="0.35">
      <c r="A31" s="626" t="s">
        <v>272</v>
      </c>
      <c r="B31" s="629">
        <f>'Standard Value Calculator'!S12/1000</f>
        <v>53.6</v>
      </c>
      <c r="C31" s="45" t="s">
        <v>237</v>
      </c>
      <c r="D31" s="627" t="s">
        <v>602</v>
      </c>
      <c r="E31" s="371"/>
      <c r="F31" s="628">
        <f>IF(OR((Fsw=440000),(Fsw=2200000)),"N/A",Rfadj/1000)</f>
        <v>5.3600000000000002E-2</v>
      </c>
      <c r="G31" s="371"/>
      <c r="H31" s="371"/>
      <c r="I31" s="546"/>
      <c r="K31" s="285" t="s">
        <v>824</v>
      </c>
      <c r="L31" s="115">
        <v>7</v>
      </c>
      <c r="O31" s="113" t="s">
        <v>936</v>
      </c>
      <c r="P31" s="285">
        <f>CHOOSE(VARIANT, 60, 60, 36, 36)</f>
        <v>36</v>
      </c>
      <c r="Q31" s="113" t="s">
        <v>0</v>
      </c>
    </row>
    <row r="32" spans="1:27" x14ac:dyDescent="0.3">
      <c r="K32" s="285" t="s">
        <v>825</v>
      </c>
      <c r="L32" s="115">
        <v>8</v>
      </c>
      <c r="O32" s="285"/>
      <c r="P32" s="115"/>
    </row>
    <row r="33" spans="1:16" ht="16" thickBot="1" x14ac:dyDescent="0.4">
      <c r="A33" s="509" t="s">
        <v>648</v>
      </c>
      <c r="B33" s="2" t="s">
        <v>606</v>
      </c>
      <c r="D33" s="2"/>
      <c r="K33" s="519" t="s">
        <v>752</v>
      </c>
      <c r="L33" s="520">
        <f>(IF(OR(Vout=3.3,Vout=5,Vout=12),CHOOSE(COMP_TYPE,IF(INFILTER_TYPE=1,1,2),IF(INFILTER_TYPE=1,3,4)),CHOOSE(COMP_TYPE,IF(INFILTER_TYPE=1,5,6),IF(INFILTER_TYPE=1,7,8))))</f>
        <v>3</v>
      </c>
      <c r="O33" s="285"/>
      <c r="P33" s="115"/>
    </row>
    <row r="34" spans="1:16" x14ac:dyDescent="0.3">
      <c r="A34" s="208" t="s">
        <v>14</v>
      </c>
      <c r="B34" s="280">
        <f>Vout/VIN_nom</f>
        <v>0.5</v>
      </c>
      <c r="C34" s="548"/>
      <c r="D34" s="283"/>
      <c r="E34" s="283"/>
      <c r="F34" s="116" t="s">
        <v>282</v>
      </c>
      <c r="G34" s="63"/>
      <c r="H34" s="63"/>
      <c r="I34" s="64"/>
      <c r="O34" s="285"/>
      <c r="P34" s="115"/>
    </row>
    <row r="35" spans="1:16" x14ac:dyDescent="0.3">
      <c r="A35" s="209" t="s">
        <v>15</v>
      </c>
      <c r="B35" s="281">
        <f>1-34:34</f>
        <v>0.5</v>
      </c>
      <c r="C35"/>
      <c r="F35" s="113" t="s">
        <v>283</v>
      </c>
      <c r="I35" s="57"/>
      <c r="O35" s="285"/>
      <c r="P35" s="115"/>
    </row>
    <row r="36" spans="1:16" ht="12.5" x14ac:dyDescent="0.25">
      <c r="A36" s="113"/>
      <c r="C36"/>
      <c r="E36" s="113"/>
      <c r="I36" s="57"/>
    </row>
    <row r="37" spans="1:16" x14ac:dyDescent="0.3">
      <c r="A37" s="209" t="s">
        <v>650</v>
      </c>
      <c r="B37" s="291">
        <f>Vout/VIN_min</f>
        <v>0.65999999999999992</v>
      </c>
      <c r="C37"/>
      <c r="D37" s="540"/>
      <c r="E37" s="113"/>
      <c r="I37" s="57"/>
    </row>
    <row r="38" spans="1:16" x14ac:dyDescent="0.3">
      <c r="A38" s="209" t="s">
        <v>651</v>
      </c>
      <c r="B38" s="291">
        <f>Vout/VIN_nom</f>
        <v>0.5</v>
      </c>
      <c r="C38"/>
      <c r="D38" s="540"/>
      <c r="I38" s="57"/>
    </row>
    <row r="39" spans="1:16" x14ac:dyDescent="0.3">
      <c r="A39" s="209" t="s">
        <v>652</v>
      </c>
      <c r="B39" s="291">
        <f>Vout/VIN_max</f>
        <v>0.44594594594594589</v>
      </c>
      <c r="C39"/>
      <c r="D39" s="540"/>
      <c r="E39" s="113"/>
      <c r="I39" s="57"/>
    </row>
    <row r="40" spans="1:16" x14ac:dyDescent="0.3">
      <c r="A40" s="113"/>
      <c r="B40" s="540"/>
      <c r="C40" s="113"/>
      <c r="E40" s="113"/>
      <c r="I40" s="57"/>
    </row>
    <row r="41" spans="1:16" x14ac:dyDescent="0.3">
      <c r="A41" s="113" t="s">
        <v>292</v>
      </c>
      <c r="B41" s="282">
        <f>(VIN_nom-Vout)*D1_Vinnom/(Fsw*(Iout/Number_of_Phases)*0.3)</f>
        <v>9.0383224873463487E-6</v>
      </c>
      <c r="C41" t="s">
        <v>19</v>
      </c>
      <c r="D41" s="46"/>
      <c r="F41" s="113" t="s">
        <v>607</v>
      </c>
      <c r="I41" s="57"/>
    </row>
    <row r="42" spans="1:16" x14ac:dyDescent="0.3">
      <c r="A42" s="113" t="s">
        <v>604</v>
      </c>
      <c r="B42" s="282">
        <f>1000*Vout*Rs/22.72/Fsw</f>
        <v>8.9508035195991569E-6</v>
      </c>
      <c r="C42" t="s">
        <v>19</v>
      </c>
      <c r="D42" s="46"/>
      <c r="F42" s="113" t="s">
        <v>649</v>
      </c>
      <c r="I42" s="57"/>
    </row>
    <row r="43" spans="1:16" ht="12.5" x14ac:dyDescent="0.25">
      <c r="A43" s="113"/>
      <c r="C43" s="113"/>
      <c r="E43" s="113"/>
      <c r="I43" s="57"/>
    </row>
    <row r="44" spans="1:16" x14ac:dyDescent="0.3">
      <c r="A44" s="209" t="s">
        <v>293</v>
      </c>
      <c r="B44" s="282">
        <f>B42</f>
        <v>8.9508035195991569E-6</v>
      </c>
      <c r="C44" t="s">
        <v>19</v>
      </c>
      <c r="D44" s="30"/>
      <c r="E44" s="113"/>
      <c r="F44" s="113" t="s">
        <v>889</v>
      </c>
      <c r="I44" s="57"/>
    </row>
    <row r="45" spans="1:16" ht="12.5" x14ac:dyDescent="0.25">
      <c r="A45" s="209"/>
      <c r="C45"/>
      <c r="E45" s="113"/>
      <c r="I45" s="57"/>
    </row>
    <row r="46" spans="1:16" ht="12.5" x14ac:dyDescent="0.25">
      <c r="A46" s="209" t="s">
        <v>624</v>
      </c>
      <c r="B46" s="72">
        <f>'Design Regulator'!E27/1000000</f>
        <v>6.8000000000000001E-6</v>
      </c>
      <c r="C46" t="s">
        <v>19</v>
      </c>
      <c r="D46" s="30"/>
      <c r="F46" s="113" t="s">
        <v>531</v>
      </c>
      <c r="I46" s="57"/>
    </row>
    <row r="47" spans="1:16" ht="12.5" x14ac:dyDescent="0.25">
      <c r="A47" s="209" t="s">
        <v>11</v>
      </c>
      <c r="B47" s="29">
        <f>'Design Regulator'!E28/1000</f>
        <v>3.5000000000000001E-3</v>
      </c>
      <c r="C47" s="210" t="s">
        <v>116</v>
      </c>
      <c r="E47" s="210"/>
      <c r="F47" s="113" t="s">
        <v>532</v>
      </c>
      <c r="I47" s="57"/>
    </row>
    <row r="48" spans="1:16" ht="12.5" x14ac:dyDescent="0.25">
      <c r="A48" s="209"/>
      <c r="B48" s="113"/>
      <c r="C48" s="113"/>
      <c r="D48" s="113"/>
      <c r="E48" s="113"/>
      <c r="I48" s="57"/>
    </row>
    <row r="49" spans="1:9" x14ac:dyDescent="0.3">
      <c r="A49" s="209" t="s">
        <v>16</v>
      </c>
      <c r="B49" s="291">
        <f>(Vout+Iout*(Rdcr+Rs))/(Vin+Iout*Rs)</f>
        <v>0.50361581920903953</v>
      </c>
      <c r="C49"/>
      <c r="I49" s="57"/>
    </row>
    <row r="50" spans="1:9" x14ac:dyDescent="0.3">
      <c r="A50" s="209" t="s">
        <v>17</v>
      </c>
      <c r="B50" s="291">
        <f>1-_Don2</f>
        <v>0.49638418079096047</v>
      </c>
      <c r="C50"/>
      <c r="I50" s="57"/>
    </row>
    <row r="51" spans="1:9" ht="12.5" x14ac:dyDescent="0.25">
      <c r="A51" s="209"/>
      <c r="C51"/>
      <c r="I51" s="57"/>
    </row>
    <row r="52" spans="1:9" x14ac:dyDescent="0.3">
      <c r="A52" s="209" t="s">
        <v>653</v>
      </c>
      <c r="B52" s="291">
        <f>CHOOSE(MODE, (Vout+Iout*(Rdcr+Rs))/(VIN_min+Iout*Rs), (Vout+Iout/Number_of_Phases*(Rdcr+Rs))/(VIN_min+Iout/Number_of_Phases*Rs))</f>
        <v>0.66357320099255579</v>
      </c>
      <c r="C52"/>
      <c r="D52" s="540"/>
      <c r="F52" s="113" t="s">
        <v>608</v>
      </c>
      <c r="I52" s="57"/>
    </row>
    <row r="53" spans="1:9" ht="15.5" x14ac:dyDescent="0.4">
      <c r="A53" s="209" t="s">
        <v>654</v>
      </c>
      <c r="B53" s="291">
        <f>CHOOSE(MODE, (Vout+Iout*(Rdcr+Rs))/(VIN_nom+Iout*Rs), (Vout+Iout/Number_of_Phases*(Rdcr+Rs))/(VIN_nom+Iout/Number_of_Phases*Rs))</f>
        <v>0.50361581920903953</v>
      </c>
      <c r="C53"/>
      <c r="D53" s="540"/>
      <c r="F53" s="366" t="s">
        <v>415</v>
      </c>
      <c r="I53" s="57"/>
    </row>
    <row r="54" spans="1:9" x14ac:dyDescent="0.3">
      <c r="A54" s="209" t="s">
        <v>655</v>
      </c>
      <c r="B54" s="291">
        <f>CHOOSE(MODE, (Vout+Iout*(Rdcr+Rs))/(VIN_max+Iout*Rs), (Vout+Iout/Number_of_Phases*(Rdcr+Rs))/(VIN_max+Iout/Number_of_Phases*Rs))</f>
        <v>0.44944537815126046</v>
      </c>
      <c r="C54"/>
      <c r="D54" s="540"/>
      <c r="I54" s="57"/>
    </row>
    <row r="55" spans="1:9" ht="12.5" x14ac:dyDescent="0.25">
      <c r="A55" s="209"/>
      <c r="C55"/>
      <c r="I55" s="57"/>
    </row>
    <row r="56" spans="1:9" ht="12.5" x14ac:dyDescent="0.25">
      <c r="A56" s="209" t="s">
        <v>289</v>
      </c>
      <c r="B56" s="505">
        <f>(VIN_min-Vout)*D1_Vinmin_2/(Fsw*Lf)</f>
        <v>0.40892649439986922</v>
      </c>
      <c r="C56" s="113" t="s">
        <v>1</v>
      </c>
      <c r="D56" s="547"/>
      <c r="E56" s="113"/>
      <c r="G56" s="30"/>
      <c r="I56" s="57"/>
    </row>
    <row r="57" spans="1:9" ht="12.5" x14ac:dyDescent="0.25">
      <c r="A57" s="209" t="s">
        <v>290</v>
      </c>
      <c r="B57" s="505">
        <f>(VIN_nom-Vout)*D1_Vinnom_2/(Fsw*Lf)</f>
        <v>0.60244970078917248</v>
      </c>
      <c r="C57" s="113" t="s">
        <v>1</v>
      </c>
      <c r="D57" s="547"/>
      <c r="E57" s="113"/>
      <c r="I57" s="57"/>
    </row>
    <row r="58" spans="1:9" ht="12.5" x14ac:dyDescent="0.25">
      <c r="A58" s="209" t="s">
        <v>291</v>
      </c>
      <c r="B58" s="505">
        <f>(VIN_max-Vout)*D1_Vinmax_2/(Fsw*Lf)</f>
        <v>0.66798739169244092</v>
      </c>
      <c r="C58" s="113" t="s">
        <v>1</v>
      </c>
      <c r="D58" s="547"/>
      <c r="E58" s="113"/>
      <c r="I58" s="57"/>
    </row>
    <row r="59" spans="1:9" x14ac:dyDescent="0.3">
      <c r="A59" s="209"/>
      <c r="B59" s="547"/>
      <c r="D59" s="466"/>
      <c r="E59" s="113"/>
      <c r="I59" s="57"/>
    </row>
    <row r="60" spans="1:9" ht="12.5" x14ac:dyDescent="0.25">
      <c r="A60" s="209" t="s">
        <v>547</v>
      </c>
      <c r="B60" s="549">
        <f>SQRT((Iout/Number_of_Phases)^2+(Iripple_Vinmin^2)/12)</f>
        <v>1.5046378544858716</v>
      </c>
      <c r="C60" s="113" t="s">
        <v>1</v>
      </c>
      <c r="D60" s="4"/>
      <c r="E60" s="113"/>
      <c r="F60" s="348"/>
      <c r="I60" s="57"/>
    </row>
    <row r="61" spans="1:9" ht="12.5" x14ac:dyDescent="0.25">
      <c r="A61" s="209" t="s">
        <v>548</v>
      </c>
      <c r="B61" s="549">
        <f>SQRT((Iout/Number_of_Phases)^2+(Iripple_Vinnom^2)/12)</f>
        <v>1.5100481681605658</v>
      </c>
      <c r="C61" s="113" t="s">
        <v>1</v>
      </c>
      <c r="D61" s="4"/>
      <c r="E61" s="113"/>
      <c r="F61" s="348"/>
      <c r="I61" s="57"/>
    </row>
    <row r="62" spans="1:9" ht="12.5" x14ac:dyDescent="0.25">
      <c r="A62" s="209" t="s">
        <v>549</v>
      </c>
      <c r="B62" s="549">
        <f>SQRT((Iout/Number_of_Phases)^2+(Iripple_Vinmax^2)/12)</f>
        <v>1.5123438529718276</v>
      </c>
      <c r="C62" s="113" t="s">
        <v>1</v>
      </c>
      <c r="D62" s="4"/>
      <c r="E62" s="113"/>
      <c r="F62" s="348"/>
      <c r="I62" s="57"/>
    </row>
    <row r="63" spans="1:9" ht="12.5" x14ac:dyDescent="0.25">
      <c r="A63" s="209" t="s">
        <v>550</v>
      </c>
      <c r="B63" s="550">
        <f>B61^2*Rs</f>
        <v>5.7006136754127003E-2</v>
      </c>
      <c r="C63" s="113" t="s">
        <v>116</v>
      </c>
      <c r="D63" s="382"/>
      <c r="E63" s="113"/>
      <c r="F63" s="382" t="s">
        <v>625</v>
      </c>
      <c r="I63" s="57"/>
    </row>
    <row r="64" spans="1:9" ht="12.5" x14ac:dyDescent="0.25">
      <c r="A64" s="209"/>
      <c r="B64" s="113"/>
      <c r="C64" s="113"/>
      <c r="D64" s="113"/>
      <c r="I64" s="57"/>
    </row>
    <row r="65" spans="1:16" ht="12.5" x14ac:dyDescent="0.25">
      <c r="A65" s="209" t="s">
        <v>297</v>
      </c>
      <c r="B65" s="292">
        <f>MAX(B56:B58)</f>
        <v>0.66798739169244092</v>
      </c>
      <c r="C65" s="382" t="s">
        <v>1</v>
      </c>
      <c r="D65" s="466"/>
      <c r="E65" s="113"/>
      <c r="F65" s="113" t="s">
        <v>626</v>
      </c>
      <c r="I65" s="57"/>
    </row>
    <row r="66" spans="1:16" ht="12.5" x14ac:dyDescent="0.25">
      <c r="A66" s="209"/>
      <c r="B66" s="113"/>
      <c r="C66" s="113"/>
      <c r="D66" s="113"/>
      <c r="F66" s="113"/>
      <c r="G66" s="285"/>
      <c r="I66" s="57"/>
    </row>
    <row r="67" spans="1:16" ht="12.5" x14ac:dyDescent="0.25">
      <c r="B67" s="396">
        <f>B56/(Iout/Number_of_Phases)</f>
        <v>0.27261766293324613</v>
      </c>
      <c r="C67" s="551"/>
      <c r="D67" s="551"/>
      <c r="F67" s="4"/>
      <c r="G67" s="397"/>
      <c r="I67" s="57"/>
    </row>
    <row r="68" spans="1:16" ht="12.5" x14ac:dyDescent="0.25">
      <c r="A68" s="209" t="s">
        <v>680</v>
      </c>
      <c r="B68" s="396">
        <f>B57/(Iout/Number_of_Phases)</f>
        <v>0.40163313385944832</v>
      </c>
      <c r="C68"/>
      <c r="D68" s="551"/>
      <c r="F68" s="4"/>
      <c r="G68" s="397"/>
      <c r="I68" s="57"/>
    </row>
    <row r="69" spans="1:16" ht="12.5" x14ac:dyDescent="0.25">
      <c r="A69" s="209"/>
      <c r="B69" s="396">
        <f>B58/(Iout/Number_of_Phases)</f>
        <v>0.44532492779496063</v>
      </c>
      <c r="C69"/>
      <c r="D69" s="551"/>
      <c r="F69" s="4"/>
      <c r="G69" s="397"/>
      <c r="I69" s="57"/>
    </row>
    <row r="70" spans="1:16" ht="12.5" x14ac:dyDescent="0.25">
      <c r="A70" s="209"/>
      <c r="C70"/>
      <c r="I70" s="57"/>
    </row>
    <row r="71" spans="1:16" ht="12.5" x14ac:dyDescent="0.25">
      <c r="A71" s="113" t="s">
        <v>605</v>
      </c>
      <c r="B71" s="395">
        <v>100</v>
      </c>
      <c r="C71" s="113" t="s">
        <v>449</v>
      </c>
      <c r="D71" s="113"/>
      <c r="E71" s="113"/>
      <c r="I71" s="57"/>
    </row>
    <row r="72" spans="1:16" x14ac:dyDescent="0.3">
      <c r="A72" s="209" t="s">
        <v>213</v>
      </c>
      <c r="B72" s="377">
        <f>Rdcr*(1+0.0039*(B71-25))</f>
        <v>4.52375E-3</v>
      </c>
      <c r="C72" s="210" t="s">
        <v>116</v>
      </c>
      <c r="D72" s="300"/>
      <c r="E72" s="210"/>
      <c r="I72" s="57"/>
    </row>
    <row r="73" spans="1:16" ht="13.5" thickBot="1" x14ac:dyDescent="0.35">
      <c r="A73" s="303" t="s">
        <v>937</v>
      </c>
      <c r="B73" s="289">
        <f>'Design Regulator'!E30</f>
        <v>0.2</v>
      </c>
      <c r="C73" s="117" t="s">
        <v>116</v>
      </c>
      <c r="D73" s="61"/>
      <c r="E73" s="61"/>
      <c r="F73" s="61"/>
      <c r="G73" s="61"/>
      <c r="H73" s="61"/>
      <c r="I73" s="62"/>
    </row>
    <row r="74" spans="1:16" x14ac:dyDescent="0.3">
      <c r="A74" s="2"/>
      <c r="B74" s="1"/>
      <c r="C74" s="1"/>
    </row>
    <row r="75" spans="1:16" ht="16" thickBot="1" x14ac:dyDescent="0.4">
      <c r="A75" s="509" t="s">
        <v>377</v>
      </c>
      <c r="B75" s="1"/>
      <c r="C75" s="1"/>
    </row>
    <row r="76" spans="1:16" x14ac:dyDescent="0.3">
      <c r="A76" s="90"/>
      <c r="B76" s="63"/>
      <c r="C76" s="63"/>
      <c r="D76" s="63"/>
      <c r="E76" s="63"/>
      <c r="F76" s="63"/>
      <c r="G76" s="63"/>
      <c r="H76" s="63"/>
      <c r="I76" s="64"/>
    </row>
    <row r="77" spans="1:16" ht="12.5" x14ac:dyDescent="0.25">
      <c r="A77" s="209" t="s">
        <v>296</v>
      </c>
      <c r="B77" s="29">
        <f>'Design Regulator'!E16</f>
        <v>0.5</v>
      </c>
      <c r="C77" t="s">
        <v>1</v>
      </c>
      <c r="E77" s="113"/>
      <c r="F77" s="113" t="s">
        <v>500</v>
      </c>
      <c r="I77" s="57"/>
      <c r="K77" s="113"/>
      <c r="N77" s="113"/>
    </row>
    <row r="78" spans="1:16" ht="12.5" x14ac:dyDescent="0.25">
      <c r="A78" s="209"/>
      <c r="C78"/>
      <c r="I78" s="57"/>
      <c r="K78" s="113"/>
      <c r="L78" s="113"/>
    </row>
    <row r="79" spans="1:16" x14ac:dyDescent="0.3">
      <c r="A79" s="209" t="s">
        <v>301</v>
      </c>
      <c r="B79" s="296">
        <f>CHOOSE(MODE, Ilimit_DC+Iripple_Vinmin/2, Ilimit_DC/Number_of_Phases+Iripple_Vinmin/2)</f>
        <v>0.70446324719993458</v>
      </c>
      <c r="C79" t="s">
        <v>1</v>
      </c>
      <c r="D79" s="4"/>
      <c r="E79" s="113"/>
      <c r="F79" s="113" t="s">
        <v>610</v>
      </c>
      <c r="I79" s="57"/>
      <c r="K79" s="4"/>
      <c r="L79" s="4"/>
      <c r="N79" s="300"/>
      <c r="P79" s="300"/>
    </row>
    <row r="80" spans="1:16" ht="12.5" x14ac:dyDescent="0.25">
      <c r="A80" s="209" t="s">
        <v>303</v>
      </c>
      <c r="B80" s="296">
        <f>CHOOSE(MODE, Ilimit_DC+Iripple_Vinnom/2, Ilimit_DC/Number_of_Phases+Iripple_Vinnom/2)</f>
        <v>0.80122485039458624</v>
      </c>
      <c r="C80" t="s">
        <v>1</v>
      </c>
      <c r="D80" s="4"/>
      <c r="E80" s="113"/>
      <c r="I80" s="57"/>
      <c r="K80" s="4"/>
      <c r="L80" s="4"/>
      <c r="N80" s="300"/>
      <c r="P80" s="300"/>
    </row>
    <row r="81" spans="1:16" ht="12.5" x14ac:dyDescent="0.25">
      <c r="A81" s="209" t="s">
        <v>302</v>
      </c>
      <c r="B81" s="296">
        <f>CHOOSE(MODE, Ilimit_DC+Iripple_Vinmax/2, Ilimit_DC/Number_of_Phases+Iripple_Vinmax/2)</f>
        <v>0.83399369584622041</v>
      </c>
      <c r="C81" t="s">
        <v>1</v>
      </c>
      <c r="D81" s="4"/>
      <c r="E81" s="113"/>
      <c r="I81" s="57"/>
      <c r="K81" s="4"/>
      <c r="L81" s="4"/>
      <c r="N81" s="300"/>
      <c r="P81" s="300"/>
    </row>
    <row r="82" spans="1:16" ht="12.5" x14ac:dyDescent="0.25">
      <c r="A82" s="209"/>
      <c r="B82" s="4"/>
      <c r="C82" s="113"/>
      <c r="D82" s="113"/>
      <c r="I82" s="57"/>
    </row>
    <row r="83" spans="1:16" x14ac:dyDescent="0.3">
      <c r="I83" s="57"/>
    </row>
    <row r="84" spans="1:16" ht="12.5" x14ac:dyDescent="0.25">
      <c r="A84" s="209" t="s">
        <v>612</v>
      </c>
      <c r="B84" s="467">
        <v>5.1999999999999998E-2</v>
      </c>
      <c r="C84" s="113" t="s">
        <v>0</v>
      </c>
      <c r="E84" s="113"/>
      <c r="I84" s="57"/>
    </row>
    <row r="85" spans="1:16" x14ac:dyDescent="0.3">
      <c r="A85" s="209" t="s">
        <v>611</v>
      </c>
      <c r="B85" s="467">
        <v>0.06</v>
      </c>
      <c r="C85" s="113" t="s">
        <v>0</v>
      </c>
      <c r="E85" s="113"/>
      <c r="F85" s="2"/>
      <c r="I85" s="57"/>
    </row>
    <row r="86" spans="1:16" ht="12.5" x14ac:dyDescent="0.25">
      <c r="A86" s="209" t="s">
        <v>613</v>
      </c>
      <c r="B86" s="467">
        <v>6.8000000000000005E-2</v>
      </c>
      <c r="C86" s="113" t="s">
        <v>0</v>
      </c>
      <c r="E86" s="113"/>
      <c r="I86" s="57"/>
    </row>
    <row r="87" spans="1:16" ht="12.5" x14ac:dyDescent="0.25">
      <c r="A87" s="209"/>
      <c r="B87" s="348"/>
      <c r="C87" s="113"/>
      <c r="E87" s="113"/>
      <c r="I87" s="57"/>
    </row>
    <row r="88" spans="1:16" ht="12.5" x14ac:dyDescent="0.25">
      <c r="A88" s="209" t="s">
        <v>533</v>
      </c>
      <c r="B88" s="297">
        <f>Buck_CS_threshold/B79</f>
        <v>8.5171228220187509E-2</v>
      </c>
      <c r="C88" s="210" t="s">
        <v>116</v>
      </c>
      <c r="D88" s="300"/>
      <c r="E88" s="210"/>
      <c r="I88" s="57"/>
    </row>
    <row r="89" spans="1:16" ht="12.5" x14ac:dyDescent="0.25">
      <c r="A89" s="209" t="s">
        <v>534</v>
      </c>
      <c r="B89" s="297">
        <f>Buck_CS_threshold/B80</f>
        <v>7.4885345818282184E-2</v>
      </c>
      <c r="C89" s="210" t="s">
        <v>116</v>
      </c>
      <c r="D89" s="300"/>
      <c r="E89" s="210"/>
      <c r="I89" s="57"/>
    </row>
    <row r="90" spans="1:16" ht="12.5" x14ac:dyDescent="0.25">
      <c r="A90" s="209" t="s">
        <v>535</v>
      </c>
      <c r="B90" s="297">
        <f>Buck_CS_threshold/B81</f>
        <v>7.1942989855721118E-2</v>
      </c>
      <c r="C90" s="210" t="s">
        <v>116</v>
      </c>
      <c r="D90" s="300"/>
      <c r="E90" s="210"/>
      <c r="I90" s="57"/>
    </row>
    <row r="91" spans="1:16" ht="12.5" x14ac:dyDescent="0.25">
      <c r="A91" s="209"/>
      <c r="B91" s="30"/>
      <c r="C91" s="210"/>
      <c r="E91" s="210"/>
      <c r="I91" s="57"/>
    </row>
    <row r="92" spans="1:16" ht="12.5" x14ac:dyDescent="0.25">
      <c r="A92" s="209" t="s">
        <v>300</v>
      </c>
      <c r="B92" s="298">
        <f>B89</f>
        <v>7.4885345818282184E-2</v>
      </c>
      <c r="C92" s="210" t="s">
        <v>116</v>
      </c>
      <c r="D92" s="300"/>
      <c r="E92" s="210"/>
      <c r="F92" s="113" t="s">
        <v>614</v>
      </c>
      <c r="I92" s="57"/>
    </row>
    <row r="93" spans="1:16" x14ac:dyDescent="0.3">
      <c r="A93" s="209" t="s">
        <v>164</v>
      </c>
      <c r="B93" s="503">
        <f>'Design Regulator'!E18/1000</f>
        <v>2.5000000000000001E-2</v>
      </c>
      <c r="C93" s="210" t="s">
        <v>116</v>
      </c>
      <c r="D93" s="348"/>
      <c r="E93" s="210"/>
      <c r="F93" s="113" t="s">
        <v>304</v>
      </c>
      <c r="I93" s="57"/>
      <c r="K93" s="113"/>
      <c r="L93" s="113"/>
    </row>
    <row r="94" spans="1:16" x14ac:dyDescent="0.3">
      <c r="A94" s="209"/>
      <c r="B94" s="398"/>
      <c r="C94" s="210"/>
      <c r="E94" s="210"/>
      <c r="I94" s="57"/>
      <c r="K94" s="113"/>
      <c r="L94" s="113"/>
    </row>
    <row r="95" spans="1:16" x14ac:dyDescent="0.3">
      <c r="A95" s="209" t="s">
        <v>615</v>
      </c>
      <c r="B95" s="296">
        <f>Buck_CS_threshold/Rs</f>
        <v>2.4</v>
      </c>
      <c r="C95" s="113" t="s">
        <v>1</v>
      </c>
      <c r="D95" s="4"/>
      <c r="E95" s="113"/>
      <c r="F95" s="113" t="s">
        <v>616</v>
      </c>
      <c r="I95" s="57"/>
    </row>
    <row r="96" spans="1:16" x14ac:dyDescent="0.3">
      <c r="A96" s="209"/>
      <c r="E96" s="2"/>
      <c r="I96" s="57"/>
    </row>
    <row r="97" spans="1:12" ht="15.5" x14ac:dyDescent="0.4">
      <c r="A97" s="209" t="s">
        <v>416</v>
      </c>
      <c r="B97" s="301">
        <f>Number_of_Phases*(Buck_CS_threshold/Rs-Iripple_Vinmin/2)</f>
        <v>2.1955367528000651</v>
      </c>
      <c r="C97" t="s">
        <v>1</v>
      </c>
      <c r="D97" s="48"/>
      <c r="F97" s="113" t="s">
        <v>418</v>
      </c>
      <c r="I97" s="57"/>
    </row>
    <row r="98" spans="1:12" ht="12.5" x14ac:dyDescent="0.25">
      <c r="A98" s="209" t="s">
        <v>446</v>
      </c>
      <c r="B98" s="301">
        <f>Number_of_Phases*(Buck_CS_threshold/Rs-Iripple_Vinnom/2)</f>
        <v>2.0987751496054137</v>
      </c>
      <c r="C98" t="s">
        <v>1</v>
      </c>
      <c r="D98" s="48"/>
      <c r="I98" s="57"/>
    </row>
    <row r="99" spans="1:12" ht="12.5" x14ac:dyDescent="0.25">
      <c r="A99" s="209" t="s">
        <v>417</v>
      </c>
      <c r="B99" s="301">
        <f>Number_of_Phases*(Buck_CS_threshold/Rs-Iripple_Vinmax/2)</f>
        <v>2.0660063041537793</v>
      </c>
      <c r="C99" t="s">
        <v>1</v>
      </c>
      <c r="D99" s="48"/>
      <c r="I99" s="57"/>
    </row>
    <row r="100" spans="1:12" ht="12.5" x14ac:dyDescent="0.25">
      <c r="A100" s="209"/>
      <c r="B100" s="48"/>
      <c r="C100"/>
      <c r="D100" s="48"/>
      <c r="I100" s="57"/>
    </row>
    <row r="101" spans="1:12" ht="12.5" x14ac:dyDescent="0.25">
      <c r="A101" s="209" t="s">
        <v>620</v>
      </c>
      <c r="B101" s="504">
        <f>SQRT((Iout_OCP_Vinmin/Number_of_Phases)^2+(Iripple_Vinmin^2)/12)</f>
        <v>2.1987079628835891</v>
      </c>
      <c r="C101" t="s">
        <v>1</v>
      </c>
      <c r="D101" s="348"/>
      <c r="I101" s="57"/>
    </row>
    <row r="102" spans="1:12" ht="12.5" x14ac:dyDescent="0.25">
      <c r="A102" s="209" t="s">
        <v>621</v>
      </c>
      <c r="B102" s="504">
        <f>SQRT((Iout_OCP_Vinnom/Number_of_Phases)^2+(Iripple_Vinnom^2)/12)</f>
        <v>2.1059683280539399</v>
      </c>
      <c r="C102" t="s">
        <v>1</v>
      </c>
      <c r="D102" s="348"/>
      <c r="I102" s="57"/>
    </row>
    <row r="103" spans="1:12" ht="12.5" x14ac:dyDescent="0.25">
      <c r="A103" s="209" t="s">
        <v>622</v>
      </c>
      <c r="B103" s="504">
        <f>SQRT((Iout_OCP_Vinmax/Number_of_Phases)^2+(Iripple_Vinmax^2)/12)</f>
        <v>2.074985777884955</v>
      </c>
      <c r="C103" t="s">
        <v>1</v>
      </c>
      <c r="D103" s="348"/>
      <c r="I103" s="57"/>
    </row>
    <row r="104" spans="1:12" ht="12.5" x14ac:dyDescent="0.25">
      <c r="A104" s="209"/>
      <c r="B104" s="48"/>
      <c r="C104"/>
      <c r="D104" s="48"/>
      <c r="I104" s="57"/>
    </row>
    <row r="105" spans="1:12" ht="12.5" x14ac:dyDescent="0.25">
      <c r="A105" s="209" t="s">
        <v>617</v>
      </c>
      <c r="B105" s="504">
        <f>B101^2*Rs</f>
        <v>0.12085791765119257</v>
      </c>
      <c r="C105" s="113" t="s">
        <v>116</v>
      </c>
      <c r="D105" s="348"/>
      <c r="E105" s="113"/>
      <c r="F105" s="113" t="s">
        <v>623</v>
      </c>
      <c r="I105" s="57"/>
    </row>
    <row r="106" spans="1:12" ht="12.5" x14ac:dyDescent="0.25">
      <c r="A106" s="209" t="s">
        <v>618</v>
      </c>
      <c r="B106" s="504">
        <f>B102^2*Rs</f>
        <v>0.11087756496915767</v>
      </c>
      <c r="C106" t="s">
        <v>116</v>
      </c>
      <c r="D106" s="348"/>
      <c r="I106" s="57"/>
    </row>
    <row r="107" spans="1:12" ht="12.5" x14ac:dyDescent="0.25">
      <c r="A107" s="209" t="s">
        <v>619</v>
      </c>
      <c r="B107" s="504">
        <f>B103^2*Rs</f>
        <v>0.10763914946062079</v>
      </c>
      <c r="C107" t="s">
        <v>116</v>
      </c>
      <c r="D107" s="348"/>
      <c r="I107" s="57"/>
    </row>
    <row r="108" spans="1:12" thickBot="1" x14ac:dyDescent="0.3">
      <c r="A108" s="60"/>
      <c r="B108" s="61"/>
      <c r="C108" s="61"/>
      <c r="D108" s="61"/>
      <c r="E108" s="117"/>
      <c r="F108" s="61"/>
      <c r="G108" s="61"/>
      <c r="H108" s="61"/>
      <c r="I108" s="62"/>
    </row>
    <row r="110" spans="1:12" ht="16" thickBot="1" x14ac:dyDescent="0.4">
      <c r="A110" s="518" t="s">
        <v>139</v>
      </c>
      <c r="D110" s="2"/>
    </row>
    <row r="111" spans="1:12" ht="12.5" x14ac:dyDescent="0.25">
      <c r="A111" s="208" t="s">
        <v>307</v>
      </c>
      <c r="B111" s="553">
        <f>Iripple_Vinmin/SQRT(12)</f>
        <v>0.11804691081026725</v>
      </c>
      <c r="C111" s="302" t="s">
        <v>1</v>
      </c>
      <c r="D111" s="618"/>
      <c r="E111" s="302"/>
      <c r="F111" s="116" t="s">
        <v>306</v>
      </c>
      <c r="G111" s="63"/>
      <c r="H111" s="63"/>
      <c r="I111" s="64"/>
      <c r="L111" s="4"/>
    </row>
    <row r="112" spans="1:12" ht="12.5" x14ac:dyDescent="0.25">
      <c r="A112" s="209" t="s">
        <v>308</v>
      </c>
      <c r="B112" s="504">
        <f>Iripple_Vinnom/SQRT(12)</f>
        <v>0.17391224846191913</v>
      </c>
      <c r="C112" s="113" t="s">
        <v>1</v>
      </c>
      <c r="D112" s="348"/>
      <c r="E112" s="113"/>
      <c r="F112" s="113"/>
      <c r="I112" s="57"/>
      <c r="L112" s="4"/>
    </row>
    <row r="113" spans="1:12" ht="12.5" x14ac:dyDescent="0.25">
      <c r="A113" s="209" t="s">
        <v>309</v>
      </c>
      <c r="B113" s="504">
        <f>Iripple_Vinmax/SQRT(12)</f>
        <v>0.19283135020445338</v>
      </c>
      <c r="C113" s="113" t="s">
        <v>1</v>
      </c>
      <c r="D113" s="348"/>
      <c r="E113" s="113"/>
      <c r="F113" s="113"/>
      <c r="I113" s="57"/>
      <c r="L113" s="4"/>
    </row>
    <row r="114" spans="1:12" ht="12.5" x14ac:dyDescent="0.25">
      <c r="A114" s="209" t="s">
        <v>538</v>
      </c>
      <c r="B114" s="504">
        <f>MAX(B111:B113)</f>
        <v>0.19283135020445338</v>
      </c>
      <c r="C114" s="113" t="s">
        <v>1</v>
      </c>
      <c r="D114" s="348"/>
      <c r="E114" s="113"/>
      <c r="F114" s="113"/>
      <c r="I114" s="57"/>
      <c r="L114" s="4"/>
    </row>
    <row r="115" spans="1:12" ht="12.5" x14ac:dyDescent="0.25">
      <c r="A115" s="209"/>
      <c r="B115" s="48"/>
      <c r="C115" s="113"/>
      <c r="F115" s="113"/>
      <c r="I115" s="57"/>
      <c r="L115" s="4"/>
    </row>
    <row r="116" spans="1:12" ht="12.5" x14ac:dyDescent="0.25">
      <c r="A116" s="209" t="s">
        <v>21</v>
      </c>
      <c r="B116" s="400">
        <f>'Design Regulator'!E33/1000</f>
        <v>0.01</v>
      </c>
      <c r="C116" t="s">
        <v>0</v>
      </c>
      <c r="F116" s="113" t="s">
        <v>419</v>
      </c>
      <c r="I116" s="57"/>
    </row>
    <row r="117" spans="1:12" ht="12.5" x14ac:dyDescent="0.25">
      <c r="A117" s="209"/>
      <c r="B117" s="113"/>
      <c r="C117"/>
      <c r="F117" s="113"/>
      <c r="I117" s="57"/>
    </row>
    <row r="118" spans="1:12" ht="12.5" x14ac:dyDescent="0.25">
      <c r="A118" s="209" t="s">
        <v>402</v>
      </c>
      <c r="B118" s="399">
        <f>Vo1_ripple*1000</f>
        <v>10</v>
      </c>
      <c r="C118" s="113" t="s">
        <v>281</v>
      </c>
      <c r="D118" s="299"/>
      <c r="E118" s="113"/>
      <c r="F118" s="113" t="s">
        <v>420</v>
      </c>
      <c r="I118" s="57"/>
      <c r="L118" s="4"/>
    </row>
    <row r="119" spans="1:12" x14ac:dyDescent="0.3">
      <c r="A119" s="56"/>
      <c r="B119" s="113"/>
      <c r="F119" s="113"/>
      <c r="I119" s="57"/>
    </row>
    <row r="120" spans="1:12" x14ac:dyDescent="0.3">
      <c r="A120" s="66" t="s">
        <v>22</v>
      </c>
      <c r="B120" s="409">
        <f>Iripple_Vinnom/(Fsw*8*Vo1_ripple)</f>
        <v>1.856295913001542E-5</v>
      </c>
      <c r="C120" t="s">
        <v>24</v>
      </c>
      <c r="D120" s="507"/>
      <c r="F120" s="113" t="s">
        <v>709</v>
      </c>
      <c r="H120">
        <f>Vo2_ripple</f>
        <v>0</v>
      </c>
      <c r="I120" s="57">
        <v>1</v>
      </c>
      <c r="K120" s="1"/>
    </row>
    <row r="121" spans="1:12" x14ac:dyDescent="0.3">
      <c r="A121" s="209" t="s">
        <v>544</v>
      </c>
      <c r="B121" s="464">
        <f>IF(Cout_min*1000000&lt;2, 2.2,Cout_min*1000000)</f>
        <v>18.562959130015422</v>
      </c>
      <c r="C121" s="42" t="s">
        <v>23</v>
      </c>
      <c r="D121" s="619"/>
      <c r="E121" s="42"/>
      <c r="I121" s="57"/>
      <c r="K121" s="1"/>
    </row>
    <row r="122" spans="1:12" ht="12.5" x14ac:dyDescent="0.25">
      <c r="A122" s="209" t="s">
        <v>25</v>
      </c>
      <c r="B122" s="410">
        <f>'Design Regulator'!E35/1000000</f>
        <v>2.0000000000000001E-4</v>
      </c>
      <c r="C122" t="s">
        <v>24</v>
      </c>
      <c r="D122" s="620"/>
      <c r="F122" s="113" t="s">
        <v>708</v>
      </c>
      <c r="I122" s="57">
        <v>1</v>
      </c>
    </row>
    <row r="123" spans="1:12" x14ac:dyDescent="0.3">
      <c r="A123" s="66" t="s">
        <v>48</v>
      </c>
      <c r="B123" s="465">
        <f>SQRT((Vo1_ripple/Iripple_Vinnom)^2-(1/(Fsw*Cout*8))^2)</f>
        <v>1.6527245162380494E-2</v>
      </c>
      <c r="C123" s="210" t="s">
        <v>116</v>
      </c>
      <c r="D123" s="621"/>
      <c r="E123" s="210"/>
      <c r="F123" s="113" t="s">
        <v>234</v>
      </c>
      <c r="I123" s="57">
        <v>1</v>
      </c>
    </row>
    <row r="124" spans="1:12" x14ac:dyDescent="0.3">
      <c r="A124" s="2"/>
      <c r="B124" s="507"/>
      <c r="C124" s="210"/>
      <c r="D124" s="507"/>
      <c r="E124" s="210"/>
      <c r="F124" s="113"/>
      <c r="I124" s="57"/>
    </row>
    <row r="125" spans="1:12" x14ac:dyDescent="0.3">
      <c r="A125" s="462" t="s">
        <v>498</v>
      </c>
      <c r="B125" s="463">
        <f>IF(OR(CoutEsrMax&gt;0.3, CoutEsrMax&lt;0, (ISERROR(CoutEsrMax))), "N/A", CoutEsrMax*1000)</f>
        <v>16.527245162380495</v>
      </c>
      <c r="C125" s="45" t="s">
        <v>305</v>
      </c>
      <c r="D125" s="622"/>
      <c r="E125" s="45"/>
      <c r="F125" s="113"/>
      <c r="I125" s="57"/>
    </row>
    <row r="126" spans="1:12" ht="12.5" x14ac:dyDescent="0.25">
      <c r="A126" s="209" t="s">
        <v>137</v>
      </c>
      <c r="B126" s="400">
        <f>'Design Regulator'!E37/1000</f>
        <v>2E-3</v>
      </c>
      <c r="C126" s="210" t="s">
        <v>116</v>
      </c>
      <c r="D126" s="113"/>
      <c r="E126" s="210"/>
      <c r="F126" s="113" t="s">
        <v>235</v>
      </c>
      <c r="I126" s="57">
        <v>1</v>
      </c>
      <c r="K126" t="b">
        <f>ISERROR(CoutEsrMax)</f>
        <v>0</v>
      </c>
      <c r="L126" t="b">
        <f>ISERROR(B125)</f>
        <v>0</v>
      </c>
    </row>
    <row r="127" spans="1:12" ht="13.5" thickBot="1" x14ac:dyDescent="0.35">
      <c r="A127" s="368" t="s">
        <v>191</v>
      </c>
      <c r="B127" s="401">
        <f>Iripple_Vinnom*SQRT(Cout_ESR^2+(1/(8*Fsw*Cout))^2)</f>
        <v>1.5209343171486435E-3</v>
      </c>
      <c r="C127" s="104" t="s">
        <v>39</v>
      </c>
      <c r="D127" s="623"/>
      <c r="E127" s="104"/>
      <c r="F127" s="61"/>
      <c r="G127" s="61"/>
      <c r="H127" s="61"/>
      <c r="I127" s="62"/>
      <c r="L127" t="b">
        <f>OR(CoutEsrMax&gt;0.3,CoutEsrMax&lt;0)</f>
        <v>0</v>
      </c>
    </row>
    <row r="128" spans="1:12" x14ac:dyDescent="0.3">
      <c r="K128" t="b">
        <f>OR(TRUE, FALSE, TRUE)</f>
        <v>1</v>
      </c>
    </row>
    <row r="129" spans="1:16" ht="16" thickBot="1" x14ac:dyDescent="0.4">
      <c r="A129" s="518" t="s">
        <v>140</v>
      </c>
    </row>
    <row r="130" spans="1:16" ht="15.5" x14ac:dyDescent="0.35">
      <c r="A130" s="94"/>
      <c r="B130" s="95"/>
      <c r="C130" s="304"/>
      <c r="D130" s="95"/>
      <c r="E130" s="95"/>
      <c r="F130" s="95"/>
      <c r="G130" s="95"/>
      <c r="H130" s="95"/>
      <c r="I130" s="96"/>
      <c r="K130" s="2" t="s">
        <v>729</v>
      </c>
    </row>
    <row r="131" spans="1:16" x14ac:dyDescent="0.3">
      <c r="A131" s="209" t="s">
        <v>536</v>
      </c>
      <c r="B131" s="111">
        <f>SQRT(D1_Vinmin_2*(Iout^2*(1-D1_Vinmin_2)+Iripple_Vinmin^2/12))</f>
        <v>0.71522409698694911</v>
      </c>
      <c r="C131" s="92" t="s">
        <v>1</v>
      </c>
      <c r="D131" s="508">
        <f>D1_Vinmax</f>
        <v>0.44594594594594589</v>
      </c>
      <c r="E131" s="92"/>
      <c r="F131" s="2" t="s">
        <v>730</v>
      </c>
      <c r="G131" s="348"/>
      <c r="H131" s="115"/>
      <c r="I131" s="98"/>
      <c r="K131" s="595" t="e">
        <f>SQRT(Iout^2*D1_Vinmin*(1-D1_Vinmin)+Iout2^2*D2_Vinmin*(1-D2_Vinmin)-2*Iout*Iout2*D1_Vinmin*D2_Vinmin)</f>
        <v>#NAME?</v>
      </c>
      <c r="L131" s="92" t="s">
        <v>1</v>
      </c>
      <c r="M131" s="296" t="e">
        <f>SQRT(Iout^2*D1_Vinmin*(1-D1_Vinmin)+Iout2^2*D2_Vinmin*(1-D2_Vinmin)-2*Iout*Iout2*(0.5-D2_Vinmin*(1-D1_Vinmin)))</f>
        <v>#NAME?</v>
      </c>
      <c r="N131" t="s">
        <v>1</v>
      </c>
    </row>
    <row r="132" spans="1:16" ht="12.5" x14ac:dyDescent="0.25">
      <c r="A132" s="209" t="s">
        <v>537</v>
      </c>
      <c r="B132" s="111">
        <f>SQRT(D1_Vinnom_2*(Iout^2*(1-D1_Vinnom_2)+Iripple_Vinnom^2/12))</f>
        <v>0.76006754989297265</v>
      </c>
      <c r="C132" s="92" t="s">
        <v>1</v>
      </c>
      <c r="D132" s="508">
        <f>D1_Vinmin</f>
        <v>0.65999999999999992</v>
      </c>
      <c r="E132" s="92"/>
      <c r="G132" s="348"/>
      <c r="I132" s="98"/>
      <c r="K132" s="296" t="e">
        <f>SQRT(Iout^2*D1_Vinnom*(1-D1_Vinnom)+Iout2^2*D2_Vinnom*(1-D2_Vinnom)-2*Iout*Iout2*D1_Vinnom*D2_Vinnom)</f>
        <v>#NAME?</v>
      </c>
      <c r="L132" s="92" t="s">
        <v>1</v>
      </c>
    </row>
    <row r="133" spans="1:16" ht="12.5" x14ac:dyDescent="0.25">
      <c r="A133" s="209" t="s">
        <v>728</v>
      </c>
      <c r="B133" s="111">
        <f>SQRT(D1_Vinmax_2*(Iout^2*(1-D1_Vinmax_2)+Iripple_Vinmax^2/12))</f>
        <v>0.75727251586325062</v>
      </c>
      <c r="C133" s="92" t="s">
        <v>1</v>
      </c>
      <c r="D133" s="508"/>
      <c r="E133" s="92"/>
      <c r="G133" s="348"/>
      <c r="I133" s="98"/>
      <c r="K133" s="296" t="e">
        <f>SQRT(Iout^2*D1_Vinmax*(1-D1_Vinmax)+Iout2^2*D2_Vinmax*(1-D2_Vinmax)-2*Iout*Iout2*D1_Vinmax*D2_Vinmax)</f>
        <v>#NAME?</v>
      </c>
      <c r="L133" s="92" t="s">
        <v>1</v>
      </c>
    </row>
    <row r="134" spans="1:16" ht="12.5" x14ac:dyDescent="0.25">
      <c r="A134" s="113" t="s">
        <v>733</v>
      </c>
      <c r="B134" s="296">
        <f>Iout*SQRT((D1_Vinmin-F136/Number_of_Phases)*((F136+1)/Number_of_Phases-D1_Vinmin))</f>
        <v>0.71056315693962069</v>
      </c>
      <c r="C134" t="s">
        <v>1</v>
      </c>
      <c r="I134" s="98"/>
      <c r="K134" s="596" t="e">
        <f>MAX(K131:K133)</f>
        <v>#NAME?</v>
      </c>
      <c r="L134" s="42" t="s">
        <v>1</v>
      </c>
    </row>
    <row r="135" spans="1:16" x14ac:dyDescent="0.3">
      <c r="A135" s="209" t="s">
        <v>542</v>
      </c>
      <c r="B135" s="111">
        <f>MAX(B131:B133)</f>
        <v>0.76006754989297265</v>
      </c>
      <c r="C135" s="42" t="s">
        <v>1</v>
      </c>
      <c r="D135" s="2"/>
      <c r="F135">
        <f>Number_of_Phases*D1_Vinnom</f>
        <v>0.5</v>
      </c>
      <c r="G135" t="s">
        <v>731</v>
      </c>
      <c r="I135" s="98"/>
      <c r="K135" s="596"/>
      <c r="L135" s="42"/>
      <c r="P135" s="4"/>
    </row>
    <row r="136" spans="1:16" x14ac:dyDescent="0.3">
      <c r="D136" s="2"/>
      <c r="F136">
        <f>FLOOR(Number_of_Phases*D1_Vinnom,1)</f>
        <v>0</v>
      </c>
      <c r="G136" t="s">
        <v>732</v>
      </c>
      <c r="I136" s="98"/>
      <c r="K136" s="596"/>
      <c r="L136" s="42"/>
      <c r="P136" s="4"/>
    </row>
    <row r="137" spans="1:16" ht="12.5" x14ac:dyDescent="0.25">
      <c r="A137" s="113" t="s">
        <v>735</v>
      </c>
      <c r="B137">
        <f>Iout/2/Number_of_Phases</f>
        <v>0.75</v>
      </c>
      <c r="C137" s="113" t="s">
        <v>1</v>
      </c>
      <c r="I137" s="98"/>
      <c r="K137" s="596"/>
      <c r="L137" s="42"/>
      <c r="P137" s="4"/>
    </row>
    <row r="138" spans="1:16" x14ac:dyDescent="0.3">
      <c r="A138" s="113" t="s">
        <v>734</v>
      </c>
      <c r="B138" s="598">
        <f>IF(D1_Vinmin&lt;0.5, B135, B137)</f>
        <v>0.75</v>
      </c>
      <c r="C138" s="42" t="s">
        <v>1</v>
      </c>
      <c r="D138" s="2" t="s">
        <v>565</v>
      </c>
      <c r="I138" s="98"/>
      <c r="K138" s="596"/>
      <c r="L138" s="42"/>
      <c r="P138" s="4"/>
    </row>
    <row r="139" spans="1:16" x14ac:dyDescent="0.3">
      <c r="A139" s="113"/>
      <c r="B139" s="597"/>
      <c r="C139" s="42"/>
      <c r="D139" s="2"/>
      <c r="I139" s="98"/>
      <c r="K139" s="596"/>
      <c r="L139" s="42"/>
      <c r="P139" s="4"/>
    </row>
    <row r="140" spans="1:16" ht="12.5" x14ac:dyDescent="0.25">
      <c r="A140" s="97" t="s">
        <v>217</v>
      </c>
      <c r="B140" s="305">
        <f>'Design Regulator'!E42/1000</f>
        <v>0.4</v>
      </c>
      <c r="C140" t="s">
        <v>39</v>
      </c>
      <c r="F140" s="113" t="s">
        <v>543</v>
      </c>
      <c r="I140" s="98"/>
    </row>
    <row r="141" spans="1:16" ht="12.5" x14ac:dyDescent="0.25">
      <c r="C141"/>
      <c r="F141" s="113"/>
      <c r="I141" s="98"/>
    </row>
    <row r="142" spans="1:16" ht="12.5" x14ac:dyDescent="0.25">
      <c r="A142" s="462" t="s">
        <v>909</v>
      </c>
      <c r="B142" s="515">
        <f>Iout/Number_of_Phases*D1_Vinmin*(1-D1_Vinmin)/(Vinripple1*Fsw)</f>
        <v>2.0742950108459874E-6</v>
      </c>
      <c r="C142" s="42" t="s">
        <v>24</v>
      </c>
      <c r="G142" s="348"/>
      <c r="I142" s="98"/>
    </row>
    <row r="143" spans="1:16" ht="12.5" x14ac:dyDescent="0.25">
      <c r="A143" s="462" t="s">
        <v>911</v>
      </c>
      <c r="B143" s="515">
        <f>Iout/Number_of_Phases*D1_Vinnom*(1-D1_Vinnom)/(Vinripple1*Fsw)</f>
        <v>2.3109347268783276E-6</v>
      </c>
      <c r="C143" s="42" t="s">
        <v>24</v>
      </c>
      <c r="G143" s="348"/>
      <c r="I143" s="98"/>
    </row>
    <row r="144" spans="1:16" ht="12.5" x14ac:dyDescent="0.25">
      <c r="A144" s="462" t="s">
        <v>552</v>
      </c>
      <c r="B144" s="515">
        <f>Iout/Number_of_Phases*D1_Vinmax*(1-D1_Vinmax)/(Vinripple1*Fsw)</f>
        <v>2.2839259937665288E-6</v>
      </c>
      <c r="C144" s="92" t="s">
        <v>24</v>
      </c>
      <c r="F144" s="113" t="s">
        <v>560</v>
      </c>
      <c r="I144" s="98"/>
      <c r="K144" s="8"/>
    </row>
    <row r="145" spans="1:11" x14ac:dyDescent="0.3">
      <c r="F145" s="113"/>
      <c r="I145" s="98"/>
      <c r="K145" s="8"/>
    </row>
    <row r="146" spans="1:11" ht="12.5" x14ac:dyDescent="0.25">
      <c r="A146" s="462" t="s">
        <v>556</v>
      </c>
      <c r="B146" s="516">
        <f>Iout*0.5*(1-0.5)/(Vinripple1*Fsw)</f>
        <v>2.3109347268783276E-6</v>
      </c>
      <c r="C146" s="42" t="s">
        <v>24</v>
      </c>
      <c r="F146" s="113" t="s">
        <v>553</v>
      </c>
      <c r="G146" s="30"/>
      <c r="I146" s="98"/>
      <c r="K146" s="8"/>
    </row>
    <row r="147" spans="1:11" ht="12.5" x14ac:dyDescent="0.25">
      <c r="A147" s="462" t="s">
        <v>216</v>
      </c>
      <c r="B147" s="30">
        <f>IF(VIN_min&gt;2*Vout, B142,B146)</f>
        <v>2.3109347268783276E-6</v>
      </c>
      <c r="C147" s="42" t="s">
        <v>24</v>
      </c>
      <c r="D147">
        <f>(VIN_min+VIN_max)/2</f>
        <v>6.2</v>
      </c>
      <c r="G147" s="30"/>
      <c r="I147" s="98"/>
      <c r="K147" s="8"/>
    </row>
    <row r="148" spans="1:11" ht="12.5" x14ac:dyDescent="0.25">
      <c r="A148" s="462" t="s">
        <v>497</v>
      </c>
      <c r="B148" s="594">
        <f>IF(Cinmin*1000000&lt;2.2, 2.2,Cinmin*1000000)</f>
        <v>2.3109347268783278</v>
      </c>
      <c r="C148" s="42" t="s">
        <v>23</v>
      </c>
      <c r="D148">
        <f>2*Vout</f>
        <v>6.6</v>
      </c>
      <c r="F148" s="113" t="s">
        <v>565</v>
      </c>
      <c r="I148" s="98"/>
    </row>
    <row r="149" spans="1:11" ht="12.5" x14ac:dyDescent="0.25">
      <c r="A149" s="462"/>
      <c r="B149" s="42"/>
      <c r="C149" s="42"/>
      <c r="F149" s="113"/>
      <c r="I149" s="98"/>
    </row>
    <row r="150" spans="1:11" ht="12.5" x14ac:dyDescent="0.25">
      <c r="A150" s="99" t="s">
        <v>57</v>
      </c>
      <c r="B150" s="411">
        <f>'Design Regulator'!E44/1000000</f>
        <v>3.0000000000000001E-5</v>
      </c>
      <c r="C150" s="92" t="s">
        <v>24</v>
      </c>
      <c r="F150" t="s">
        <v>146</v>
      </c>
      <c r="I150" s="98"/>
    </row>
    <row r="151" spans="1:11" ht="12.5" x14ac:dyDescent="0.25">
      <c r="A151" s="462" t="s">
        <v>943</v>
      </c>
      <c r="B151" s="297">
        <f>-(Iout/Number_of_Phases*D1_Vinmin*(1-D1_Vinmin)/(Cin*Fsw)-Vinripple1)/(Iout/Number_of_Phases+Iripple_Vinmin/2)</f>
        <v>0.21845160568900443</v>
      </c>
      <c r="C151" s="210" t="s">
        <v>116</v>
      </c>
      <c r="I151" s="98"/>
    </row>
    <row r="152" spans="1:11" ht="12.5" x14ac:dyDescent="0.25">
      <c r="A152" s="462" t="s">
        <v>554</v>
      </c>
      <c r="B152" s="297">
        <f>-(Iout/Number_of_Phases*D1_Vinmax*(1-D1_Vinmax)/(Cin*Fsw)-Vinripple1)/(Iout/Number_of_Phases+Iripple_Vinmax/2)</f>
        <v>0.20149886788238597</v>
      </c>
      <c r="C152" s="210" t="s">
        <v>116</v>
      </c>
      <c r="I152" s="98"/>
    </row>
    <row r="153" spans="1:11" ht="12.5" x14ac:dyDescent="0.25">
      <c r="A153" s="462" t="s">
        <v>555</v>
      </c>
      <c r="B153" s="297">
        <f>-(Iout/Number_of_Phases*0.5*(1-0.5)/(Cin*Fsw)-Vinripple1)/(Iout/Number_of_Phases+Iripple_Vinmax/2)</f>
        <v>0.20130251145962055</v>
      </c>
      <c r="C153" s="210" t="s">
        <v>116</v>
      </c>
      <c r="F153" s="113" t="s">
        <v>561</v>
      </c>
      <c r="I153" s="98"/>
    </row>
    <row r="154" spans="1:11" ht="12.5" x14ac:dyDescent="0.25">
      <c r="A154" s="462" t="s">
        <v>218</v>
      </c>
      <c r="B154" s="297">
        <f>IF(VIN_min&gt;2*Vout, B151,B153)</f>
        <v>0.20130251145962055</v>
      </c>
      <c r="C154" s="210" t="s">
        <v>116</v>
      </c>
      <c r="I154" s="98"/>
    </row>
    <row r="155" spans="1:11" x14ac:dyDescent="0.3">
      <c r="A155" s="462" t="s">
        <v>499</v>
      </c>
      <c r="B155" s="506">
        <f>IF(OR(CinEsrMax&gt;0.3, CinEsrMax&lt;0), "N/A",CinEsrMax*1000)</f>
        <v>201.30251145962055</v>
      </c>
      <c r="C155" s="45" t="s">
        <v>305</v>
      </c>
      <c r="F155" t="s">
        <v>565</v>
      </c>
      <c r="I155" s="98"/>
    </row>
    <row r="156" spans="1:11" ht="12.5" x14ac:dyDescent="0.25">
      <c r="A156" s="99" t="s">
        <v>86</v>
      </c>
      <c r="B156" s="93">
        <f>'Design Regulator'!E46/1000</f>
        <v>1E-3</v>
      </c>
      <c r="C156" s="210" t="s">
        <v>116</v>
      </c>
      <c r="F156" s="113" t="s">
        <v>236</v>
      </c>
      <c r="I156" s="98"/>
    </row>
    <row r="157" spans="1:11" x14ac:dyDescent="0.3">
      <c r="F157" s="113"/>
      <c r="I157" s="98"/>
      <c r="K157" s="300"/>
    </row>
    <row r="158" spans="1:11" ht="12.5" x14ac:dyDescent="0.25">
      <c r="A158" s="462" t="s">
        <v>910</v>
      </c>
      <c r="B158" s="380">
        <f>Iout/Number_of_Phases*D1_Vinmin_2*(1-D1_Vinmin_2)/(Cin*Fsw)+(Iout/Number_of_Phases +Iripple_Vinmin/2)*RCinEsr</f>
        <v>2.9219229555256642E-2</v>
      </c>
      <c r="C158" s="92" t="s">
        <v>39</v>
      </c>
      <c r="F158" s="113"/>
      <c r="I158" s="98"/>
      <c r="K158" s="300"/>
    </row>
    <row r="159" spans="1:11" ht="12.5" x14ac:dyDescent="0.25">
      <c r="A159" s="462" t="s">
        <v>912</v>
      </c>
      <c r="B159" s="380">
        <f>Iout/Number_of_Phases*D1_Vinnom_2*(1-D1_Vinnom_2)/(Cin*Fsw)+(Iout/Number_of_Phases +Iripple_Vinnom/2)*RCinEsr</f>
        <v>3.2612076488563527E-2</v>
      </c>
      <c r="C159" s="92" t="s">
        <v>39</v>
      </c>
      <c r="I159" s="98"/>
    </row>
    <row r="160" spans="1:11" ht="12.5" x14ac:dyDescent="0.25">
      <c r="A160" s="462" t="s">
        <v>557</v>
      </c>
      <c r="B160" s="380">
        <f>Iout/Number_of_Phases*D1_Vinmax_2*(1-D1_Vinmax_2)/(Cin*Fsw)+(Iout/Number_of_Phases +Iripple_Vinmax/2)*RCinEsr</f>
        <v>3.2331458472237833E-2</v>
      </c>
      <c r="C160" s="92" t="s">
        <v>39</v>
      </c>
      <c r="I160" s="98"/>
    </row>
    <row r="161" spans="1:9" ht="12.5" x14ac:dyDescent="0.25">
      <c r="A161" s="462" t="s">
        <v>558</v>
      </c>
      <c r="B161" s="380">
        <f>Iout/Number_of_Phases*0.5*(1-0.5)/(Cin*Fsw)+(Iout/Number_of_Phases +Iripple_Vinmax/2)*RCinEsr</f>
        <v>3.2646456720890588E-2</v>
      </c>
      <c r="C161" s="92" t="s">
        <v>39</v>
      </c>
      <c r="F161" s="113" t="s">
        <v>559</v>
      </c>
      <c r="I161" s="98"/>
    </row>
    <row r="162" spans="1:9" ht="12.5" x14ac:dyDescent="0.25">
      <c r="A162" s="462" t="s">
        <v>219</v>
      </c>
      <c r="B162" s="380">
        <f>IF(D1_Vinmin&lt;0.5, B158,B161)</f>
        <v>3.2646456720890588E-2</v>
      </c>
      <c r="C162" s="92" t="s">
        <v>39</v>
      </c>
      <c r="F162" s="113" t="s">
        <v>564</v>
      </c>
      <c r="I162" s="98"/>
    </row>
    <row r="163" spans="1:9" ht="12.5" x14ac:dyDescent="0.25">
      <c r="A163" s="99"/>
      <c r="B163" s="517"/>
      <c r="C163" s="92"/>
      <c r="I163" s="98"/>
    </row>
    <row r="164" spans="1:9" thickBot="1" x14ac:dyDescent="0.3">
      <c r="A164" s="100"/>
      <c r="B164" s="381">
        <f>Iout*D1_Vinmin_2*(1-D1_Vinmin_2)/(Cin*Fsw)</f>
        <v>2.7514766308056708E-2</v>
      </c>
      <c r="C164" s="306" t="s">
        <v>39</v>
      </c>
      <c r="D164" s="101"/>
      <c r="E164" s="102"/>
      <c r="F164" s="102"/>
      <c r="G164" s="102"/>
      <c r="H164" s="102"/>
      <c r="I164" s="103"/>
    </row>
    <row r="166" spans="1:9" ht="16" thickBot="1" x14ac:dyDescent="0.4">
      <c r="A166" s="509" t="s">
        <v>563</v>
      </c>
    </row>
    <row r="167" spans="1:9" ht="12.5" x14ac:dyDescent="0.25">
      <c r="A167" s="89" t="s">
        <v>148</v>
      </c>
      <c r="B167" s="12">
        <f>'Design Regulator'!E51/1000</f>
        <v>0</v>
      </c>
      <c r="C167" s="63" t="s">
        <v>133</v>
      </c>
      <c r="D167" s="116" t="s">
        <v>422</v>
      </c>
      <c r="E167" s="63"/>
      <c r="F167" s="63"/>
      <c r="G167" s="63"/>
      <c r="H167" s="63"/>
      <c r="I167" s="64"/>
    </row>
    <row r="168" spans="1:9" ht="12.5" x14ac:dyDescent="0.25">
      <c r="A168" s="56" t="s">
        <v>149</v>
      </c>
      <c r="B168" s="68" t="e">
        <f>Cout*Vout/Tss</f>
        <v>#DIV/0!</v>
      </c>
      <c r="C168" t="s">
        <v>1</v>
      </c>
      <c r="D168" s="113" t="s">
        <v>421</v>
      </c>
      <c r="I168" s="57"/>
    </row>
    <row r="169" spans="1:9" ht="12.5" x14ac:dyDescent="0.25">
      <c r="A169" s="56" t="s">
        <v>150</v>
      </c>
      <c r="B169" s="412">
        <f>0.000022*Tss/1.2</f>
        <v>0</v>
      </c>
      <c r="C169" t="s">
        <v>24</v>
      </c>
      <c r="I169" s="57"/>
    </row>
    <row r="170" spans="1:9" thickBot="1" x14ac:dyDescent="0.3">
      <c r="A170" s="60" t="s">
        <v>161</v>
      </c>
      <c r="B170" s="413">
        <f>'Standard Value Calculator'!B4</f>
        <v>0</v>
      </c>
      <c r="C170" s="61" t="s">
        <v>24</v>
      </c>
      <c r="D170" s="61"/>
      <c r="E170" s="61"/>
      <c r="F170" s="61"/>
      <c r="G170" s="61"/>
      <c r="H170" s="61"/>
      <c r="I170" s="62"/>
    </row>
    <row r="172" spans="1:9" ht="16" thickBot="1" x14ac:dyDescent="0.4">
      <c r="A172" s="509" t="s">
        <v>628</v>
      </c>
    </row>
    <row r="173" spans="1:9" ht="12.75" customHeight="1" x14ac:dyDescent="0.25">
      <c r="A173" s="208" t="s">
        <v>629</v>
      </c>
      <c r="B173" s="555">
        <f>'Design Regulator'!E54/1000</f>
        <v>0.02</v>
      </c>
      <c r="C173" s="63" t="s">
        <v>133</v>
      </c>
      <c r="D173" s="116" t="s">
        <v>633</v>
      </c>
      <c r="E173" s="63"/>
      <c r="F173" s="63"/>
      <c r="G173" s="63"/>
      <c r="H173" s="63"/>
      <c r="I173" s="64"/>
    </row>
    <row r="174" spans="1:9" ht="12.75" customHeight="1" x14ac:dyDescent="0.25">
      <c r="A174" s="209" t="s">
        <v>630</v>
      </c>
      <c r="B174" s="412">
        <f>0.00002*Tres/1.2</f>
        <v>3.3333333333333335E-7</v>
      </c>
      <c r="C174" t="s">
        <v>24</v>
      </c>
      <c r="I174" s="57"/>
    </row>
    <row r="175" spans="1:9" ht="12.75" customHeight="1" x14ac:dyDescent="0.3">
      <c r="A175" s="209" t="s">
        <v>631</v>
      </c>
      <c r="B175" s="556">
        <f>'Standard Value Calculator'!G4</f>
        <v>3.3000000000000002E-7</v>
      </c>
      <c r="C175" t="s">
        <v>24</v>
      </c>
      <c r="F175" s="45"/>
      <c r="G175" s="44"/>
      <c r="H175" s="44"/>
      <c r="I175" s="57"/>
    </row>
    <row r="176" spans="1:9" ht="12.75" customHeight="1" x14ac:dyDescent="0.25">
      <c r="B176" s="44"/>
      <c r="C176"/>
      <c r="I176" s="57"/>
    </row>
    <row r="177" spans="1:9" ht="12.75" customHeight="1" x14ac:dyDescent="0.4">
      <c r="A177" s="209" t="s">
        <v>632</v>
      </c>
      <c r="B177" s="44">
        <v>100</v>
      </c>
      <c r="C177" s="45" t="s">
        <v>237</v>
      </c>
      <c r="I177" s="57"/>
    </row>
    <row r="178" spans="1:9" ht="12.75" customHeight="1" x14ac:dyDescent="0.4">
      <c r="A178" s="209" t="s">
        <v>637</v>
      </c>
      <c r="B178" s="44"/>
      <c r="C178" s="210" t="s">
        <v>116</v>
      </c>
      <c r="E178" s="113" t="s">
        <v>638</v>
      </c>
      <c r="I178" s="57"/>
    </row>
    <row r="179" spans="1:9" ht="12.75" customHeight="1" x14ac:dyDescent="0.25">
      <c r="A179" s="538" t="s">
        <v>635</v>
      </c>
      <c r="B179" s="44"/>
      <c r="C179" s="210" t="s">
        <v>116</v>
      </c>
      <c r="D179" s="366"/>
      <c r="E179" s="113" t="s">
        <v>636</v>
      </c>
      <c r="I179" s="57"/>
    </row>
    <row r="180" spans="1:9" ht="12.75" customHeight="1" x14ac:dyDescent="0.25">
      <c r="A180" s="538" t="s">
        <v>634</v>
      </c>
      <c r="B180" s="44"/>
      <c r="C180" s="210" t="s">
        <v>116</v>
      </c>
      <c r="D180" s="366"/>
      <c r="E180" s="113" t="s">
        <v>593</v>
      </c>
      <c r="I180" s="57"/>
    </row>
    <row r="181" spans="1:9" ht="12.75" customHeight="1" x14ac:dyDescent="0.25">
      <c r="A181" s="696"/>
      <c r="B181" s="44"/>
      <c r="C181" s="210"/>
      <c r="D181" s="366"/>
      <c r="E181" s="113"/>
      <c r="I181" s="57"/>
    </row>
    <row r="182" spans="1:9" ht="12.75" customHeight="1" x14ac:dyDescent="0.25">
      <c r="A182" s="696" t="s">
        <v>859</v>
      </c>
      <c r="B182" s="697">
        <v>1.0000000000000001E-5</v>
      </c>
      <c r="C182" s="210" t="s">
        <v>1</v>
      </c>
      <c r="D182" s="366"/>
      <c r="E182" s="113" t="s">
        <v>860</v>
      </c>
      <c r="I182" s="57"/>
    </row>
    <row r="183" spans="1:9" ht="12.5" x14ac:dyDescent="0.25">
      <c r="A183" s="696" t="s">
        <v>861</v>
      </c>
      <c r="B183" s="698">
        <f>'Design Regulator'!E53</f>
        <v>22</v>
      </c>
      <c r="C183" s="210"/>
      <c r="D183" s="366"/>
      <c r="E183" s="113"/>
      <c r="I183" s="57"/>
    </row>
    <row r="184" spans="1:9" ht="12.75" customHeight="1" x14ac:dyDescent="0.25">
      <c r="A184" s="696" t="s">
        <v>862</v>
      </c>
      <c r="B184" s="698">
        <f>'Design Regulator'!E53-'Design Regulator'!E54</f>
        <v>2</v>
      </c>
      <c r="C184" s="210"/>
      <c r="D184" s="366"/>
      <c r="E184" s="113"/>
      <c r="I184" s="57"/>
    </row>
    <row r="185" spans="1:9" ht="12.75" customHeight="1" x14ac:dyDescent="0.25">
      <c r="A185" s="696"/>
      <c r="B185" s="44"/>
      <c r="C185" s="210"/>
      <c r="D185" s="366"/>
      <c r="E185" s="113"/>
      <c r="I185" s="57"/>
    </row>
    <row r="186" spans="1:9" ht="12.75" customHeight="1" x14ac:dyDescent="0.25">
      <c r="A186" s="696" t="s">
        <v>863</v>
      </c>
      <c r="B186" s="596">
        <f>B184/B182</f>
        <v>199999.99999999997</v>
      </c>
      <c r="C186" s="210" t="s">
        <v>116</v>
      </c>
      <c r="D186" s="366"/>
      <c r="E186" s="113"/>
      <c r="I186" s="57"/>
    </row>
    <row r="187" spans="1:9" ht="12.75" customHeight="1" x14ac:dyDescent="0.25">
      <c r="A187" s="696" t="s">
        <v>864</v>
      </c>
      <c r="B187" s="44">
        <f>B186/(B183-1)</f>
        <v>9523.8095238095229</v>
      </c>
      <c r="C187" s="210" t="s">
        <v>116</v>
      </c>
      <c r="D187" s="366"/>
      <c r="E187" s="113"/>
      <c r="I187" s="57"/>
    </row>
    <row r="188" spans="1:9" ht="12.75" customHeight="1" x14ac:dyDescent="0.3">
      <c r="A188" s="696" t="s">
        <v>865</v>
      </c>
      <c r="B188" s="44">
        <f>'Standard Value Calculator'!S40</f>
        <v>200</v>
      </c>
      <c r="C188" s="45" t="s">
        <v>237</v>
      </c>
      <c r="D188" s="366"/>
      <c r="E188" s="113"/>
      <c r="I188" s="57"/>
    </row>
    <row r="189" spans="1:9" ht="12.75" customHeight="1" x14ac:dyDescent="0.3">
      <c r="A189" s="696" t="s">
        <v>866</v>
      </c>
      <c r="B189" s="44">
        <f>'Standard Value Calculator'!S41</f>
        <v>9.5299999999999994</v>
      </c>
      <c r="C189" s="45" t="s">
        <v>237</v>
      </c>
      <c r="D189" s="366"/>
      <c r="E189" s="113"/>
      <c r="I189" s="57"/>
    </row>
    <row r="190" spans="1:9" ht="12.75" customHeight="1" x14ac:dyDescent="0.25">
      <c r="A190" s="209"/>
      <c r="B190" s="44"/>
      <c r="C190" s="210"/>
      <c r="I190" s="57"/>
    </row>
    <row r="191" spans="1:9" ht="12.75" customHeight="1" x14ac:dyDescent="0.25">
      <c r="A191" s="209" t="s">
        <v>529</v>
      </c>
      <c r="B191" s="379">
        <f>'Design Regulator'!E57*1000</f>
        <v>41200</v>
      </c>
      <c r="C191" s="113" t="s">
        <v>9</v>
      </c>
      <c r="I191" s="57"/>
    </row>
    <row r="192" spans="1:9" ht="12.75" customHeight="1" x14ac:dyDescent="0.25">
      <c r="A192" s="209" t="s">
        <v>311</v>
      </c>
      <c r="B192" s="378">
        <f>10*10^-6/Fdither/0.12</f>
        <v>2.0226537216828479E-9</v>
      </c>
      <c r="C192" s="113" t="s">
        <v>24</v>
      </c>
      <c r="I192" s="57"/>
    </row>
    <row r="193" spans="1:9" ht="12.75" customHeight="1" x14ac:dyDescent="0.25">
      <c r="A193" s="209" t="s">
        <v>312</v>
      </c>
      <c r="B193" s="378">
        <f>'Standard Value Calculator'!S21</f>
        <v>2.1999999999999998E-9</v>
      </c>
      <c r="C193" s="113" t="s">
        <v>24</v>
      </c>
      <c r="I193" s="57"/>
    </row>
    <row r="194" spans="1:9" ht="12.75" customHeight="1" thickBot="1" x14ac:dyDescent="0.35">
      <c r="A194" s="60"/>
      <c r="B194" s="70"/>
      <c r="C194" s="286"/>
      <c r="D194" s="61"/>
      <c r="E194" s="61"/>
      <c r="F194" s="61"/>
      <c r="G194" s="61"/>
      <c r="H194" s="61"/>
      <c r="I194" s="62"/>
    </row>
    <row r="195" spans="1:9" x14ac:dyDescent="0.3">
      <c r="B195" s="44"/>
      <c r="C195" s="287"/>
    </row>
    <row r="196" spans="1:9" ht="16" thickBot="1" x14ac:dyDescent="0.4">
      <c r="A196" s="509" t="s">
        <v>562</v>
      </c>
    </row>
    <row r="197" spans="1:9" x14ac:dyDescent="0.3">
      <c r="A197" s="361" t="s">
        <v>38</v>
      </c>
      <c r="B197" s="362">
        <v>3.1415926500000002</v>
      </c>
      <c r="C197" s="363"/>
      <c r="D197" s="364" t="s">
        <v>364</v>
      </c>
      <c r="E197" s="63"/>
      <c r="F197" s="63"/>
      <c r="G197" s="63"/>
      <c r="H197" s="63"/>
      <c r="I197" s="64"/>
    </row>
    <row r="198" spans="1:9" x14ac:dyDescent="0.3">
      <c r="A198" s="113" t="s">
        <v>374</v>
      </c>
      <c r="B198" s="113">
        <v>10</v>
      </c>
      <c r="C198" s="46"/>
      <c r="D198" s="210"/>
      <c r="I198" s="57"/>
    </row>
    <row r="199" spans="1:9" ht="12.5" x14ac:dyDescent="0.25">
      <c r="A199" s="113" t="s">
        <v>353</v>
      </c>
      <c r="B199">
        <f>Rs*CSAmp_gain</f>
        <v>0.25</v>
      </c>
      <c r="C199" s="210" t="s">
        <v>116</v>
      </c>
      <c r="E199" s="210"/>
      <c r="F199" s="113" t="s">
        <v>369</v>
      </c>
      <c r="I199" s="57"/>
    </row>
    <row r="200" spans="1:9" ht="12.5" x14ac:dyDescent="0.25">
      <c r="A200" s="113" t="s">
        <v>334</v>
      </c>
      <c r="B200" s="557">
        <f>IF(COMP_TYPE=1,0.00003,0.0012)</f>
        <v>1.1999999999999999E-3</v>
      </c>
      <c r="C200" s="113" t="s">
        <v>66</v>
      </c>
      <c r="F200" s="113" t="s">
        <v>354</v>
      </c>
      <c r="I200" s="57"/>
    </row>
    <row r="201" spans="1:9" ht="12.5" x14ac:dyDescent="0.25">
      <c r="A201" s="113"/>
      <c r="B201" s="113"/>
      <c r="C201" s="113"/>
      <c r="F201" s="113"/>
      <c r="I201" s="57"/>
    </row>
    <row r="202" spans="1:9" x14ac:dyDescent="0.3">
      <c r="A202" s="113" t="s">
        <v>438</v>
      </c>
      <c r="B202" s="539">
        <f>B206/Ri*1000</f>
        <v>368800</v>
      </c>
      <c r="C202" s="477" t="s">
        <v>355</v>
      </c>
      <c r="D202" s="539"/>
      <c r="E202" s="477"/>
      <c r="F202" s="477" t="s">
        <v>375</v>
      </c>
      <c r="H202" s="4"/>
      <c r="I202" s="57"/>
    </row>
    <row r="203" spans="1:9" x14ac:dyDescent="0.3">
      <c r="A203" s="113" t="s">
        <v>356</v>
      </c>
      <c r="B203" s="539">
        <f>(Vin-Vout)/Lf</f>
        <v>485294.1176470588</v>
      </c>
      <c r="C203" s="477" t="s">
        <v>355</v>
      </c>
      <c r="D203" s="539"/>
      <c r="E203" s="477"/>
      <c r="F203" s="477" t="s">
        <v>357</v>
      </c>
      <c r="H203" s="4"/>
      <c r="I203" s="57"/>
    </row>
    <row r="204" spans="1:9" x14ac:dyDescent="0.3">
      <c r="A204" s="113" t="s">
        <v>373</v>
      </c>
      <c r="B204" s="539">
        <f>Vout/Lf</f>
        <v>485294.1176470588</v>
      </c>
      <c r="C204" s="477" t="s">
        <v>355</v>
      </c>
      <c r="D204" s="539"/>
      <c r="E204" s="477"/>
      <c r="F204" s="477" t="s">
        <v>372</v>
      </c>
      <c r="H204" s="4"/>
      <c r="I204" s="57"/>
    </row>
    <row r="205" spans="1:9" x14ac:dyDescent="0.3">
      <c r="A205" s="113"/>
      <c r="B205" s="365"/>
      <c r="C205" s="350"/>
      <c r="F205" s="350"/>
      <c r="I205" s="57"/>
    </row>
    <row r="206" spans="1:9" x14ac:dyDescent="0.3">
      <c r="A206" s="113" t="s">
        <v>376</v>
      </c>
      <c r="B206" s="373">
        <f>Fsw*0.001*(5/22)</f>
        <v>92.2</v>
      </c>
      <c r="C206" s="374" t="s">
        <v>412</v>
      </c>
      <c r="D206" s="373"/>
      <c r="E206" s="374"/>
      <c r="F206" s="374" t="s">
        <v>384</v>
      </c>
      <c r="I206" s="57"/>
    </row>
    <row r="207" spans="1:9" x14ac:dyDescent="0.3">
      <c r="A207" s="113" t="s">
        <v>382</v>
      </c>
      <c r="B207" s="373">
        <f>Sn*Ri/1000</f>
        <v>121.3235294117647</v>
      </c>
      <c r="C207" s="374" t="s">
        <v>412</v>
      </c>
      <c r="D207" s="373"/>
      <c r="E207" s="374"/>
      <c r="F207" s="374" t="s">
        <v>385</v>
      </c>
      <c r="I207" s="57"/>
    </row>
    <row r="208" spans="1:9" x14ac:dyDescent="0.3">
      <c r="A208" s="113" t="s">
        <v>383</v>
      </c>
      <c r="B208" s="373">
        <f>Sf*Ri/1000</f>
        <v>121.3235294117647</v>
      </c>
      <c r="C208" s="374" t="s">
        <v>412</v>
      </c>
      <c r="D208" s="373"/>
      <c r="E208" s="374"/>
      <c r="F208" s="374" t="s">
        <v>385</v>
      </c>
      <c r="I208" s="57"/>
    </row>
    <row r="209" spans="1:9" x14ac:dyDescent="0.3">
      <c r="A209" s="113"/>
      <c r="B209" s="373"/>
      <c r="C209" s="374"/>
      <c r="D209" s="374"/>
      <c r="I209" s="57"/>
    </row>
    <row r="210" spans="1:9" ht="12.5" x14ac:dyDescent="0.25">
      <c r="A210" s="113" t="s">
        <v>410</v>
      </c>
      <c r="B210" s="348">
        <f>1+Se_ext/Sn</f>
        <v>1.7599515151515153</v>
      </c>
      <c r="C210"/>
      <c r="D210" s="348"/>
      <c r="F210" s="113" t="s">
        <v>760</v>
      </c>
      <c r="I210" s="57"/>
    </row>
    <row r="211" spans="1:9" x14ac:dyDescent="0.3">
      <c r="A211" s="113" t="s">
        <v>411</v>
      </c>
      <c r="B211" s="367">
        <f>mc_buck*(1-D1_Vinnom_2)</f>
        <v>0.87361209108029458</v>
      </c>
      <c r="C211" s="350"/>
      <c r="D211" s="367"/>
      <c r="F211" s="350" t="s">
        <v>641</v>
      </c>
      <c r="I211" s="57"/>
    </row>
    <row r="212" spans="1:9" x14ac:dyDescent="0.3">
      <c r="A212" s="2"/>
      <c r="B212" s="382"/>
      <c r="C212" s="350"/>
      <c r="D212" s="350"/>
      <c r="I212" s="57"/>
    </row>
    <row r="213" spans="1:9" x14ac:dyDescent="0.3">
      <c r="A213" s="2" t="s">
        <v>358</v>
      </c>
      <c r="B213" s="367">
        <f>1+Se_ext/Sn</f>
        <v>1.7599515151515153</v>
      </c>
      <c r="C213" s="350"/>
      <c r="D213" s="367"/>
      <c r="I213" s="57"/>
    </row>
    <row r="214" spans="1:9" x14ac:dyDescent="0.3">
      <c r="A214" s="2" t="s">
        <v>333</v>
      </c>
      <c r="B214" s="408">
        <f>mc_buck*(1-D1_Vinnom_2)</f>
        <v>0.87361209108029458</v>
      </c>
      <c r="C214" s="350"/>
      <c r="D214" s="408"/>
      <c r="I214" s="57"/>
    </row>
    <row r="215" spans="1:9" ht="12.5" x14ac:dyDescent="0.25">
      <c r="A215" s="113" t="s">
        <v>27</v>
      </c>
      <c r="B215" s="348">
        <f>1/Pi/(k-0.5)</f>
        <v>0.85197961775574171</v>
      </c>
      <c r="C215"/>
      <c r="D215" s="348"/>
      <c r="F215" s="113" t="s">
        <v>367</v>
      </c>
      <c r="H215" s="113" t="s">
        <v>378</v>
      </c>
      <c r="I215" s="57"/>
    </row>
    <row r="216" spans="1:9" ht="12.5" x14ac:dyDescent="0.25">
      <c r="A216" s="113"/>
      <c r="B216" s="348"/>
      <c r="C216"/>
      <c r="D216" s="113"/>
      <c r="F216" s="113"/>
      <c r="I216" s="57"/>
    </row>
    <row r="217" spans="1:9" x14ac:dyDescent="0.3">
      <c r="A217" s="350" t="s">
        <v>413</v>
      </c>
      <c r="B217" s="348"/>
      <c r="C217"/>
      <c r="D217" s="113"/>
      <c r="I217" s="57"/>
    </row>
    <row r="218" spans="1:9" ht="14.5" x14ac:dyDescent="0.35">
      <c r="A218" s="113" t="s">
        <v>359</v>
      </c>
      <c r="B218" s="671">
        <v>6</v>
      </c>
      <c r="C218" s="113" t="s">
        <v>178</v>
      </c>
      <c r="F218" s="113" t="s">
        <v>443</v>
      </c>
      <c r="I218" s="57"/>
    </row>
    <row r="219" spans="1:9" ht="14.5" x14ac:dyDescent="0.35">
      <c r="A219" s="113" t="s">
        <v>360</v>
      </c>
      <c r="B219" s="672">
        <f>gm/(2*Pi*GBW*1000000)</f>
        <v>3.1830988654751269E-11</v>
      </c>
      <c r="C219" s="113" t="s">
        <v>24</v>
      </c>
      <c r="F219" s="113" t="s">
        <v>442</v>
      </c>
      <c r="I219" s="57"/>
    </row>
    <row r="220" spans="1:9" ht="14.5" x14ac:dyDescent="0.35">
      <c r="A220" s="113" t="s">
        <v>361</v>
      </c>
      <c r="B220" s="673">
        <v>64000000</v>
      </c>
      <c r="C220" s="210" t="s">
        <v>116</v>
      </c>
      <c r="F220" s="113" t="s">
        <v>441</v>
      </c>
      <c r="I220" s="57"/>
    </row>
    <row r="221" spans="1:9" x14ac:dyDescent="0.3">
      <c r="A221" s="2" t="s">
        <v>362</v>
      </c>
      <c r="B221" s="299">
        <f>gm*RoEA</f>
        <v>76800</v>
      </c>
      <c r="C221" s="113" t="s">
        <v>28</v>
      </c>
      <c r="F221" s="113" t="s">
        <v>440</v>
      </c>
      <c r="I221" s="57"/>
    </row>
    <row r="222" spans="1:9" x14ac:dyDescent="0.3">
      <c r="A222" s="2" t="s">
        <v>363</v>
      </c>
      <c r="B222" s="4">
        <f>IF(VOUT_setting=1,Vref/Vout,SQRT((1+(Fcross*zterm1)^2)/((1+Afbr-pterm4*(Fcross)^2)^2+(Fcross*pterm3)^2)))</f>
        <v>0.230247630653551</v>
      </c>
      <c r="C222" s="113" t="s">
        <v>28</v>
      </c>
      <c r="D222" s="4"/>
      <c r="E222" s="113"/>
      <c r="F222" s="113" t="s">
        <v>439</v>
      </c>
      <c r="I222" s="57"/>
    </row>
    <row r="223" spans="1:9" x14ac:dyDescent="0.3">
      <c r="A223" s="2" t="s">
        <v>318</v>
      </c>
      <c r="B223" s="382">
        <f>1/Ri</f>
        <v>4</v>
      </c>
      <c r="C223" s="113"/>
      <c r="D223" s="382"/>
      <c r="E223" s="113"/>
      <c r="F223" s="113" t="s">
        <v>368</v>
      </c>
      <c r="I223" s="57"/>
    </row>
    <row r="224" spans="1:9" x14ac:dyDescent="0.3">
      <c r="A224" s="2" t="s">
        <v>404</v>
      </c>
      <c r="B224" s="4">
        <f>(Ro/Number_of_Phases)/Ri/((1+Ro/Number_of_Phases*(k-0.5)/(Fsw*Lf)))</f>
        <v>6.7798945781005866</v>
      </c>
      <c r="C224" s="4"/>
      <c r="D224" s="4"/>
      <c r="I224" s="57"/>
    </row>
    <row r="225" spans="1:9" x14ac:dyDescent="0.3">
      <c r="A225" s="2" t="s">
        <v>323</v>
      </c>
      <c r="B225" s="4">
        <f>(Ro*Number_of_Phases)/Ri/((1+Ro*Number_of_Phases*(k-0.5)/(Fsw*Lf)))</f>
        <v>6.7798945781005866</v>
      </c>
      <c r="C225" s="4"/>
      <c r="D225" s="4"/>
      <c r="F225" s="350" t="s">
        <v>697</v>
      </c>
      <c r="I225" s="57"/>
    </row>
    <row r="226" spans="1:9" x14ac:dyDescent="0.3">
      <c r="A226" s="2"/>
      <c r="B226" s="4"/>
      <c r="C226"/>
      <c r="D226" s="350"/>
      <c r="I226" s="57"/>
    </row>
    <row r="227" spans="1:9" ht="12.5" x14ac:dyDescent="0.25">
      <c r="A227" s="113" t="s">
        <v>698</v>
      </c>
      <c r="B227" s="4">
        <f>2*Pi*Ri/gm</f>
        <v>1308.9969375000003</v>
      </c>
      <c r="C227"/>
      <c r="F227" s="113" t="s">
        <v>444</v>
      </c>
      <c r="I227" s="57"/>
    </row>
    <row r="228" spans="1:9" x14ac:dyDescent="0.3">
      <c r="A228" s="350" t="s">
        <v>405</v>
      </c>
      <c r="B228" s="4"/>
      <c r="C228"/>
      <c r="F228" s="113"/>
      <c r="I228" s="57"/>
    </row>
    <row r="229" spans="1:9" x14ac:dyDescent="0.3">
      <c r="A229" s="350"/>
      <c r="B229" s="4"/>
      <c r="C229"/>
      <c r="F229" s="113"/>
      <c r="I229" s="57"/>
    </row>
    <row r="230" spans="1:9" ht="12.5" x14ac:dyDescent="0.25">
      <c r="A230" s="209" t="s">
        <v>42</v>
      </c>
      <c r="B230" s="382">
        <f>Rout</f>
        <v>2.1999999999999997</v>
      </c>
      <c r="C230" s="210" t="s">
        <v>116</v>
      </c>
      <c r="D230" s="348"/>
      <c r="E230" s="210"/>
      <c r="F230" s="113" t="s">
        <v>263</v>
      </c>
      <c r="I230" s="57"/>
    </row>
    <row r="231" spans="1:9" ht="12.5" x14ac:dyDescent="0.25">
      <c r="A231" s="113"/>
      <c r="B231" s="113"/>
      <c r="C231" s="210"/>
      <c r="D231" s="113"/>
      <c r="I231" s="57"/>
    </row>
    <row r="232" spans="1:9" ht="12.5" x14ac:dyDescent="0.25">
      <c r="A232" s="113" t="s">
        <v>399</v>
      </c>
      <c r="B232" s="372">
        <f>1/(2*Pi*Ro*Cout)+(k-0.5)/(2*Pi*Fsw*Lf*Cout/Number_of_Phases)</f>
        <v>469.49090856909527</v>
      </c>
      <c r="C232" t="s">
        <v>9</v>
      </c>
      <c r="D232" s="359"/>
      <c r="F232" s="113" t="s">
        <v>398</v>
      </c>
      <c r="I232" s="57"/>
    </row>
    <row r="233" spans="1:9" x14ac:dyDescent="0.3">
      <c r="A233" s="113" t="s">
        <v>431</v>
      </c>
      <c r="B233" s="359">
        <f>Fload_u</f>
        <v>469.49090856909527</v>
      </c>
      <c r="C233" s="113" t="s">
        <v>9</v>
      </c>
      <c r="D233" s="359"/>
      <c r="E233" s="113"/>
      <c r="F233" s="365"/>
      <c r="I233" s="57"/>
    </row>
    <row r="234" spans="1:9" x14ac:dyDescent="0.3">
      <c r="A234" s="113"/>
      <c r="B234" s="358">
        <f>Cbw</f>
        <v>3.1830988654751269E-11</v>
      </c>
      <c r="C234"/>
      <c r="D234" s="113"/>
      <c r="E234" s="46"/>
      <c r="I234" s="57"/>
    </row>
    <row r="235" spans="1:9" ht="12.5" x14ac:dyDescent="0.25">
      <c r="A235" s="113" t="s">
        <v>370</v>
      </c>
      <c r="B235" s="422">
        <f>1/(2*Pi*(RoEA+Rcea1_u)*Cc1ea_u)</f>
        <v>3.0305329858129837</v>
      </c>
      <c r="C235" t="s">
        <v>9</v>
      </c>
      <c r="D235" s="624"/>
      <c r="F235" s="113" t="s">
        <v>397</v>
      </c>
      <c r="I235" s="57"/>
    </row>
    <row r="236" spans="1:9" ht="12.5" x14ac:dyDescent="0.25">
      <c r="A236" s="113" t="s">
        <v>371</v>
      </c>
      <c r="B236" s="372">
        <f>1/(2*Pi*Rcea1_u*(Cc2ea_u+Cbw))</f>
        <v>110375.27593818985</v>
      </c>
      <c r="C236" t="s">
        <v>9</v>
      </c>
      <c r="D236" s="359"/>
      <c r="F236" s="113" t="s">
        <v>379</v>
      </c>
      <c r="I236" s="57"/>
    </row>
    <row r="237" spans="1:9" ht="12.5" x14ac:dyDescent="0.25">
      <c r="A237" s="209" t="s">
        <v>26</v>
      </c>
      <c r="B237" s="372">
        <f>1/(2*Pi*Cout*Cout_ESR)</f>
        <v>397887.35818439093</v>
      </c>
      <c r="C237" t="s">
        <v>9</v>
      </c>
      <c r="D237" s="359"/>
      <c r="F237" s="113" t="s">
        <v>396</v>
      </c>
      <c r="I237" s="57"/>
    </row>
    <row r="238" spans="1:9" ht="12.5" x14ac:dyDescent="0.25">
      <c r="A238" s="113" t="s">
        <v>403</v>
      </c>
      <c r="B238" s="372">
        <f>Fsw/2</f>
        <v>202840</v>
      </c>
      <c r="C238" t="s">
        <v>9</v>
      </c>
      <c r="D238" s="359"/>
      <c r="F238" s="113" t="s">
        <v>681</v>
      </c>
      <c r="I238" s="57"/>
    </row>
    <row r="239" spans="1:9" x14ac:dyDescent="0.3">
      <c r="A239" s="113"/>
      <c r="B239" s="359"/>
      <c r="C239"/>
      <c r="D239" s="675" t="s">
        <v>829</v>
      </c>
      <c r="E239" s="46"/>
      <c r="I239" s="57"/>
    </row>
    <row r="240" spans="1:9" ht="12.5" x14ac:dyDescent="0.25">
      <c r="A240" s="209" t="s">
        <v>395</v>
      </c>
      <c r="B240" s="305">
        <f>CHOOSE(COMP_TYPE,Fcross_Ch2,'Design Regulator'!E63*1000)</f>
        <v>40000</v>
      </c>
      <c r="C240" s="358" t="s">
        <v>9</v>
      </c>
      <c r="D240" s="676">
        <f>Fsw/50</f>
        <v>8113.6</v>
      </c>
      <c r="E240" s="358"/>
      <c r="I240" s="57"/>
    </row>
    <row r="241" spans="1:12" x14ac:dyDescent="0.3">
      <c r="A241" s="66" t="s">
        <v>33</v>
      </c>
      <c r="B241" s="359">
        <f>Fcross*Cout/Number_of_Phases*2*Pi*Ri/(gm*Afb)</f>
        <v>45481.360525950309</v>
      </c>
      <c r="C241" s="210" t="s">
        <v>116</v>
      </c>
      <c r="D241" s="359"/>
      <c r="E241" s="210"/>
      <c r="F241" s="113" t="s">
        <v>365</v>
      </c>
      <c r="I241" s="57"/>
      <c r="K241" s="299">
        <f>Fcross/Fp_dominant/(gm*Afb*Am)</f>
        <v>45481.360525950317</v>
      </c>
      <c r="L241" s="210"/>
    </row>
    <row r="242" spans="1:12" x14ac:dyDescent="0.3">
      <c r="A242" s="66" t="s">
        <v>656</v>
      </c>
      <c r="B242" s="358">
        <f>10/(Rcea1*Fcross*2*Pi)</f>
        <v>8.748360945741021E-10</v>
      </c>
      <c r="C242" t="s">
        <v>24</v>
      </c>
      <c r="D242" s="358"/>
      <c r="F242" s="113" t="s">
        <v>642</v>
      </c>
      <c r="I242" s="57"/>
    </row>
    <row r="243" spans="1:12" x14ac:dyDescent="0.3">
      <c r="A243" s="66" t="s">
        <v>657</v>
      </c>
      <c r="B243" s="358">
        <f>MAX(1/(Rcea1*2*Pi*Fesr)-Cbw, 1/(Rcea1*2*Pi*(Fsw/2))-Cbw)</f>
        <v>-1.4579241571846479E-11</v>
      </c>
      <c r="C243" t="s">
        <v>24</v>
      </c>
      <c r="D243" s="358"/>
      <c r="F243" s="113" t="s">
        <v>366</v>
      </c>
      <c r="I243" s="57"/>
    </row>
    <row r="244" spans="1:12" x14ac:dyDescent="0.3">
      <c r="A244" s="65"/>
      <c r="B244" s="1"/>
      <c r="C244" s="210"/>
      <c r="I244" s="57"/>
    </row>
    <row r="245" spans="1:12" x14ac:dyDescent="0.3">
      <c r="A245" s="674" t="str">
        <f>CHOOSE(COMP_TYPE,"Internal Compensation","External Compensation")</f>
        <v>External Compensation</v>
      </c>
      <c r="B245" s="1"/>
      <c r="C245" s="210"/>
      <c r="I245" s="57"/>
    </row>
    <row r="246" spans="1:12" x14ac:dyDescent="0.3">
      <c r="A246" s="66" t="s">
        <v>314</v>
      </c>
      <c r="D246" s="676" t="s">
        <v>828</v>
      </c>
      <c r="I246" s="57"/>
    </row>
    <row r="247" spans="1:12" ht="12.5" x14ac:dyDescent="0.25">
      <c r="A247" s="56" t="s">
        <v>34</v>
      </c>
      <c r="B247" s="69">
        <f>CHOOSE(COMP_TYPE,D247,'Design Regulator'!D71*1000)</f>
        <v>45300</v>
      </c>
      <c r="C247" s="210" t="s">
        <v>116</v>
      </c>
      <c r="D247" s="677">
        <v>400000</v>
      </c>
      <c r="G247">
        <f>1/(Rcea1*2*Pi*(Fsw/2))-Cbw</f>
        <v>-1.4579241571846479E-11</v>
      </c>
      <c r="I247" s="57"/>
    </row>
    <row r="248" spans="1:12" ht="12.5" x14ac:dyDescent="0.25">
      <c r="A248" s="56" t="s">
        <v>35</v>
      </c>
      <c r="B248" s="69">
        <f>CHOOSE(COMP_TYPE,Cc3ea_u,'Design Regulator'!D72*0.000000001)</f>
        <v>8.1999999999999996E-10</v>
      </c>
      <c r="C248" t="s">
        <v>24</v>
      </c>
      <c r="D248" s="678">
        <f>50*0.000000000001</f>
        <v>5.0000000000000002E-11</v>
      </c>
      <c r="I248" s="57"/>
    </row>
    <row r="249" spans="1:12" ht="12.5" x14ac:dyDescent="0.25">
      <c r="A249" s="56" t="s">
        <v>36</v>
      </c>
      <c r="B249" s="69">
        <f>CHOOSE(COMP_TYPE,Cc4ea_u,'Design Regulator'!D73*0.000000000001)</f>
        <v>0</v>
      </c>
      <c r="C249" t="s">
        <v>24</v>
      </c>
      <c r="D249" s="678">
        <f>0.000000000001</f>
        <v>9.9999999999999998E-13</v>
      </c>
      <c r="I249" s="57"/>
    </row>
    <row r="250" spans="1:12" ht="12.5" x14ac:dyDescent="0.25">
      <c r="A250" s="56"/>
      <c r="B250" s="48"/>
      <c r="C250"/>
      <c r="I250" s="57"/>
    </row>
    <row r="251" spans="1:12" x14ac:dyDescent="0.3">
      <c r="A251" s="66" t="s">
        <v>381</v>
      </c>
      <c r="C251"/>
      <c r="F251">
        <f>Cout</f>
        <v>2.0000000000000001E-4</v>
      </c>
      <c r="G251">
        <f>Cout_ESR</f>
        <v>2E-3</v>
      </c>
      <c r="I251" s="57"/>
    </row>
    <row r="252" spans="1:12" x14ac:dyDescent="0.3">
      <c r="A252" s="66" t="s">
        <v>37</v>
      </c>
      <c r="B252" s="360">
        <f>1/(2*Pi*Rcea1_u*Cc1ea_u)</f>
        <v>4284.5782392116616</v>
      </c>
      <c r="C252" t="s">
        <v>9</v>
      </c>
      <c r="D252" s="359"/>
      <c r="F252" s="113" t="s">
        <v>436</v>
      </c>
      <c r="I252" s="57"/>
    </row>
    <row r="253" spans="1:12" x14ac:dyDescent="0.3">
      <c r="A253" s="66" t="s">
        <v>707</v>
      </c>
      <c r="B253" s="360">
        <f>1/(2*Pi*Rcea1_u*(Cc1ea_u*(Cc2ea_u+Cbw)/(Cc1ea_u+Cc2ea_u+Cbw)))</f>
        <v>114659.85417740152</v>
      </c>
      <c r="C253" t="s">
        <v>9</v>
      </c>
      <c r="D253" s="359"/>
      <c r="F253" t="s">
        <v>132</v>
      </c>
      <c r="I253" s="57"/>
    </row>
    <row r="254" spans="1:12" ht="12.5" x14ac:dyDescent="0.25">
      <c r="C254"/>
      <c r="D254" s="676" t="s">
        <v>828</v>
      </c>
      <c r="I254" s="57"/>
    </row>
    <row r="255" spans="1:12" ht="12.5" x14ac:dyDescent="0.25">
      <c r="A255" s="56" t="s">
        <v>29</v>
      </c>
      <c r="B255" s="305">
        <f>IF(VOUT_setting=1,'Design Regulator'!E65*1000,2500000)</f>
        <v>2500000</v>
      </c>
      <c r="C255" s="210" t="s">
        <v>116</v>
      </c>
      <c r="E255" s="210"/>
      <c r="F255" s="113" t="s">
        <v>389</v>
      </c>
      <c r="I255" s="57"/>
    </row>
    <row r="256" spans="1:12" x14ac:dyDescent="0.3">
      <c r="A256" s="66" t="s">
        <v>40</v>
      </c>
      <c r="B256" s="349">
        <f>IF(Vout=Vref,100000000,Vref*B255/((Vout-Vref)))</f>
        <v>800000</v>
      </c>
      <c r="C256" s="210" t="s">
        <v>116</v>
      </c>
      <c r="D256" s="625"/>
      <c r="E256" s="210"/>
      <c r="F256" s="113" t="s">
        <v>388</v>
      </c>
      <c r="I256" s="57"/>
    </row>
    <row r="257" spans="1:9" ht="12.5" x14ac:dyDescent="0.25">
      <c r="A257" s="56" t="s">
        <v>136</v>
      </c>
      <c r="B257" s="68">
        <f>IF(Vout=Vref,"N/A",CHOOSE(VOUT_setting,'Standard Value Calculator'!S11,471000,792000,177000))</f>
        <v>792000</v>
      </c>
      <c r="C257" s="210" t="s">
        <v>116</v>
      </c>
      <c r="E257" s="210"/>
      <c r="F257" s="113" t="s">
        <v>387</v>
      </c>
      <c r="I257" s="57"/>
    </row>
    <row r="258" spans="1:9" ht="12.5" x14ac:dyDescent="0.25">
      <c r="B258" s="685"/>
      <c r="C258" s="210"/>
      <c r="E258" s="210"/>
      <c r="F258" s="113"/>
      <c r="I258" s="57"/>
    </row>
    <row r="259" spans="1:9" ht="12.5" x14ac:dyDescent="0.25">
      <c r="A259" t="s">
        <v>840</v>
      </c>
      <c r="B259" s="305">
        <v>20000</v>
      </c>
      <c r="C259" s="210" t="s">
        <v>116</v>
      </c>
      <c r="E259" s="210"/>
      <c r="F259" s="113"/>
      <c r="I259" s="57"/>
    </row>
    <row r="260" spans="1:9" ht="12.5" x14ac:dyDescent="0.25">
      <c r="A260" t="s">
        <v>841</v>
      </c>
      <c r="B260" s="69">
        <v>3.67E-13</v>
      </c>
      <c r="C260" t="s">
        <v>24</v>
      </c>
      <c r="E260" s="210"/>
      <c r="F260" s="113"/>
      <c r="I260" s="57"/>
    </row>
    <row r="261" spans="1:9" ht="12.5" x14ac:dyDescent="0.25">
      <c r="A261" t="s">
        <v>842</v>
      </c>
      <c r="B261" s="69">
        <v>2.1999999999999999E-12</v>
      </c>
      <c r="C261" t="s">
        <v>24</v>
      </c>
      <c r="E261" s="210"/>
      <c r="F261" s="113"/>
      <c r="I261" s="57"/>
    </row>
    <row r="262" spans="1:9" ht="12.5" x14ac:dyDescent="0.25">
      <c r="B262" s="685"/>
      <c r="C262" s="210"/>
      <c r="E262" s="210"/>
      <c r="F262" s="113"/>
      <c r="I262" s="57"/>
    </row>
    <row r="263" spans="1:9" ht="12.5" x14ac:dyDescent="0.25">
      <c r="A263" s="113" t="s">
        <v>836</v>
      </c>
      <c r="B263" s="687">
        <f>1/(2*Pi*Rff*Cff)</f>
        <v>21683234.778440922</v>
      </c>
      <c r="C263" s="113" t="s">
        <v>9</v>
      </c>
      <c r="E263" s="210"/>
      <c r="F263" s="113"/>
      <c r="I263" s="57"/>
    </row>
    <row r="264" spans="1:9" ht="12.5" x14ac:dyDescent="0.25">
      <c r="A264" s="113" t="s">
        <v>837</v>
      </c>
      <c r="B264" s="687">
        <f>1/(2*Pi*Rfb1_*Cfb)</f>
        <v>28937.262413410252</v>
      </c>
      <c r="C264" s="113" t="s">
        <v>9</v>
      </c>
      <c r="E264" s="210"/>
      <c r="F264" s="113"/>
      <c r="I264" s="57"/>
    </row>
    <row r="265" spans="1:9" ht="12.5" x14ac:dyDescent="0.25">
      <c r="A265" s="113" t="s">
        <v>838</v>
      </c>
      <c r="B265" s="687">
        <f>1/(2*Pi*Rfb2_u*Cfb)</f>
        <v>91342.368729199035</v>
      </c>
      <c r="C265" s="113" t="s">
        <v>9</v>
      </c>
      <c r="E265" s="210"/>
      <c r="F265" s="113"/>
      <c r="I265" s="57"/>
    </row>
    <row r="266" spans="1:9" ht="12.5" x14ac:dyDescent="0.25">
      <c r="A266" s="113" t="s">
        <v>839</v>
      </c>
      <c r="B266" s="687">
        <f>1/(2*Pi*Rff*Cfb)</f>
        <v>3617157.8016762817</v>
      </c>
      <c r="C266" s="113" t="s">
        <v>9</v>
      </c>
      <c r="E266" s="210"/>
      <c r="F266" s="113"/>
      <c r="I266" s="57"/>
    </row>
    <row r="267" spans="1:9" ht="12.5" x14ac:dyDescent="0.25">
      <c r="A267" s="113" t="s">
        <v>848</v>
      </c>
      <c r="B267" s="687">
        <f>1/(2*Pi*Cff*Rfb1_)</f>
        <v>173465.8782275274</v>
      </c>
      <c r="C267" s="113" t="s">
        <v>9</v>
      </c>
      <c r="E267" s="210"/>
      <c r="F267" s="113"/>
      <c r="I267" s="57"/>
    </row>
    <row r="268" spans="1:9" ht="12.5" x14ac:dyDescent="0.25">
      <c r="A268" t="s">
        <v>843</v>
      </c>
      <c r="B268" s="685">
        <f>2*Pi*Cfb*(Rff+Rfb1_)/(Rff*Rfb1_)</f>
        <v>6.96679586064E-16</v>
      </c>
      <c r="C268" s="113" t="s">
        <v>9</v>
      </c>
      <c r="E268" s="210"/>
      <c r="F268" s="113"/>
      <c r="I268" s="57"/>
    </row>
    <row r="269" spans="1:9" ht="12.5" x14ac:dyDescent="0.25">
      <c r="B269" s="685"/>
      <c r="C269" s="113"/>
      <c r="E269" s="210"/>
      <c r="F269" s="113"/>
      <c r="I269" s="57"/>
    </row>
    <row r="270" spans="1:9" ht="12.5" x14ac:dyDescent="0.25">
      <c r="B270" s="685"/>
      <c r="C270" s="113"/>
      <c r="E270" s="210"/>
      <c r="F270" s="113"/>
      <c r="I270" s="57"/>
    </row>
    <row r="271" spans="1:9" ht="13.5" thickBot="1" x14ac:dyDescent="0.35">
      <c r="A271" s="371"/>
      <c r="B271" s="686"/>
      <c r="C271" s="71"/>
      <c r="D271" s="61"/>
      <c r="E271" s="71"/>
      <c r="F271" s="61"/>
      <c r="G271" s="61"/>
      <c r="H271" s="61"/>
      <c r="I271" s="62"/>
    </row>
    <row r="272" spans="1:9" x14ac:dyDescent="0.3">
      <c r="A272" s="1"/>
      <c r="B272" s="46"/>
      <c r="C272" s="46"/>
      <c r="E272" s="46"/>
    </row>
    <row r="273" spans="1:9" x14ac:dyDescent="0.3">
      <c r="A273" s="66" t="s">
        <v>169</v>
      </c>
      <c r="B273" s="1"/>
      <c r="C273"/>
    </row>
    <row r="274" spans="1:9" x14ac:dyDescent="0.3">
      <c r="A274" s="66" t="s">
        <v>170</v>
      </c>
      <c r="B274" s="2">
        <v>0</v>
      </c>
      <c r="C274" s="210" t="s">
        <v>116</v>
      </c>
      <c r="D274" s="113" t="s">
        <v>262</v>
      </c>
    </row>
    <row r="275" spans="1:9" x14ac:dyDescent="0.3">
      <c r="A275" s="66" t="s">
        <v>173</v>
      </c>
      <c r="B275" s="369" t="e">
        <f>0.00000002*Fsw*0.6*4/Iripple1</f>
        <v>#NAME?</v>
      </c>
      <c r="C275" s="46"/>
      <c r="E275" s="46"/>
    </row>
    <row r="276" spans="1:9" x14ac:dyDescent="0.3">
      <c r="A276" s="66" t="s">
        <v>172</v>
      </c>
      <c r="B276" s="369" t="e">
        <f>_Don2*RdsonTop+Doff2*RdsonBot</f>
        <v>#NAME?</v>
      </c>
      <c r="C276" s="46"/>
      <c r="E276" s="46"/>
    </row>
    <row r="277" spans="1:9" x14ac:dyDescent="0.3">
      <c r="A277" s="66" t="s">
        <v>171</v>
      </c>
      <c r="B277" s="369" t="e">
        <f>B278*Vin^2*Fsw/2/(((Iripple1/SQRT(3))^2))</f>
        <v>#NAME?</v>
      </c>
      <c r="C277" s="46"/>
      <c r="E277" s="46"/>
    </row>
    <row r="278" spans="1:9" x14ac:dyDescent="0.3">
      <c r="A278" s="66" t="s">
        <v>174</v>
      </c>
      <c r="B278" s="370">
        <v>5.0000000000000001E-9</v>
      </c>
      <c r="C278" s="46"/>
      <c r="E278" s="46"/>
    </row>
    <row r="279" spans="1:9" x14ac:dyDescent="0.3">
      <c r="A279" s="2"/>
      <c r="B279" s="370"/>
      <c r="C279" s="46"/>
      <c r="E279" s="46"/>
    </row>
    <row r="280" spans="1:9" ht="16" thickBot="1" x14ac:dyDescent="0.4">
      <c r="A280" s="509" t="s">
        <v>764</v>
      </c>
    </row>
    <row r="281" spans="1:9" x14ac:dyDescent="0.3">
      <c r="A281" s="361"/>
      <c r="B281" s="362"/>
      <c r="C281" s="363"/>
      <c r="D281" s="364"/>
      <c r="E281" s="63"/>
      <c r="F281" s="63"/>
      <c r="G281" s="63"/>
      <c r="H281" s="63"/>
      <c r="I281" s="64"/>
    </row>
    <row r="282" spans="1:9" x14ac:dyDescent="0.3">
      <c r="A282" s="113" t="s">
        <v>771</v>
      </c>
      <c r="B282" s="397">
        <f>20*LOG10(Vinripple2*1000000)</f>
        <v>90.276721041428459</v>
      </c>
      <c r="C282" s="1" t="s">
        <v>770</v>
      </c>
      <c r="E282" s="46"/>
      <c r="I282" s="57"/>
    </row>
    <row r="283" spans="1:9" x14ac:dyDescent="0.3">
      <c r="A283" s="113" t="s">
        <v>772</v>
      </c>
      <c r="B283" s="359" t="e">
        <f>CHOOSE(OSC,35,50)</f>
        <v>#VALUE!</v>
      </c>
      <c r="C283" s="1" t="s">
        <v>770</v>
      </c>
      <c r="D283" s="113" t="s">
        <v>850</v>
      </c>
      <c r="E283" s="46"/>
      <c r="I283" s="57"/>
    </row>
    <row r="284" spans="1:9" x14ac:dyDescent="0.3">
      <c r="A284" s="113" t="s">
        <v>773</v>
      </c>
      <c r="B284" s="397" t="e">
        <f>VinRipple_dBuV-B283+3</f>
        <v>#VALUE!</v>
      </c>
      <c r="C284" s="1" t="s">
        <v>770</v>
      </c>
      <c r="D284" s="113" t="s">
        <v>851</v>
      </c>
      <c r="E284" s="46"/>
      <c r="I284" s="57"/>
    </row>
    <row r="285" spans="1:9" x14ac:dyDescent="0.3">
      <c r="A285" s="113" t="s">
        <v>774</v>
      </c>
      <c r="B285" s="647" t="e">
        <f>Fsw/(POWER(10,Attn_req/40))</f>
        <v>#VALUE!</v>
      </c>
      <c r="C285" s="46" t="s">
        <v>9</v>
      </c>
      <c r="D285" s="113" t="s">
        <v>852</v>
      </c>
      <c r="E285" s="46"/>
      <c r="I285" s="57"/>
    </row>
    <row r="286" spans="1:9" x14ac:dyDescent="0.3">
      <c r="A286" s="113"/>
      <c r="B286" s="370"/>
      <c r="C286" s="46"/>
      <c r="E286" s="46"/>
      <c r="I286" s="57"/>
    </row>
    <row r="287" spans="1:9" x14ac:dyDescent="0.3">
      <c r="A287" s="113" t="s">
        <v>775</v>
      </c>
      <c r="B287" s="358">
        <f>'Design Regulator'!E49</f>
        <v>0.68</v>
      </c>
      <c r="C287" s="370" t="s">
        <v>10</v>
      </c>
      <c r="D287" s="113" t="s">
        <v>853</v>
      </c>
      <c r="E287" s="46"/>
      <c r="I287" s="57"/>
    </row>
    <row r="288" spans="1:9" x14ac:dyDescent="0.3">
      <c r="A288" s="113"/>
      <c r="B288" s="397"/>
      <c r="C288" s="46"/>
      <c r="E288" s="46"/>
      <c r="I288" s="57"/>
    </row>
    <row r="289" spans="1:9" x14ac:dyDescent="0.3">
      <c r="A289" s="113" t="s">
        <v>767</v>
      </c>
      <c r="B289" s="113" t="e">
        <f>CHOOSE(OSC,20,100)</f>
        <v>#VALUE!</v>
      </c>
      <c r="C289" s="46"/>
      <c r="E289" s="46"/>
      <c r="I289" s="57"/>
    </row>
    <row r="290" spans="1:9" x14ac:dyDescent="0.3">
      <c r="A290" s="113" t="s">
        <v>768</v>
      </c>
      <c r="B290" s="113">
        <v>3</v>
      </c>
      <c r="C290" s="46"/>
      <c r="E290" s="46"/>
      <c r="F290" s="113" t="s">
        <v>855</v>
      </c>
      <c r="I290" s="57"/>
    </row>
    <row r="291" spans="1:9" x14ac:dyDescent="0.3">
      <c r="A291" s="113"/>
      <c r="B291" s="397"/>
      <c r="C291" s="46"/>
      <c r="E291" s="46"/>
      <c r="I291" s="57"/>
    </row>
    <row r="292" spans="1:9" x14ac:dyDescent="0.3">
      <c r="A292" s="113" t="s">
        <v>806</v>
      </c>
      <c r="B292" s="397" t="e">
        <f>1000000/(LinfilterPssv*POWER(2*Pi*Fx_infilter,2))</f>
        <v>#VALUE!</v>
      </c>
      <c r="C292" s="46" t="s">
        <v>23</v>
      </c>
      <c r="D292">
        <f>'Design Input Filter'!G9*0.000001</f>
        <v>6.8E-8</v>
      </c>
      <c r="E292" s="46"/>
      <c r="I292" s="57"/>
    </row>
    <row r="293" spans="1:9" ht="14.5" x14ac:dyDescent="0.35">
      <c r="A293" s="113" t="s">
        <v>765</v>
      </c>
      <c r="B293" s="397" t="e">
        <f>1000000/(L_infilter*Gop_AEF*0.000001*POWER(2*Pi*Fx_infilter,2))</f>
        <v>#VALUE!</v>
      </c>
      <c r="C293" s="46" t="s">
        <v>23</v>
      </c>
      <c r="D293" s="660" t="e">
        <f>'Design Regulator'!#REF!*0.000001</f>
        <v>#REF!</v>
      </c>
      <c r="E293" s="46"/>
      <c r="I293" s="57"/>
    </row>
    <row r="294" spans="1:9" x14ac:dyDescent="0.3">
      <c r="A294" s="113"/>
      <c r="B294" s="397"/>
      <c r="C294" s="46"/>
      <c r="E294" s="46"/>
      <c r="I294" s="57"/>
    </row>
    <row r="295" spans="1:9" x14ac:dyDescent="0.3">
      <c r="A295" s="113" t="s">
        <v>769</v>
      </c>
      <c r="B295" s="397" t="e">
        <f>CHOOSE(OSC,0,Cinj_AEF/nAEF)</f>
        <v>#VALUE!</v>
      </c>
      <c r="C295" s="46" t="s">
        <v>23</v>
      </c>
      <c r="D295" t="e">
        <f>'Design Regulator'!#REF!*0.000001</f>
        <v>#REF!</v>
      </c>
      <c r="E295" s="46"/>
      <c r="I295" s="57"/>
    </row>
    <row r="296" spans="1:9" x14ac:dyDescent="0.3">
      <c r="A296" s="113" t="s">
        <v>766</v>
      </c>
      <c r="B296" s="397" t="e">
        <f>CHOOSE(OSC,SQRT(L_infilter*Gop_AEF/(Cinj_AEF)),1.09*SQRT(L_infilter*Gop_AEF/Cinj_AEF))</f>
        <v>#VALUE!</v>
      </c>
      <c r="C296" s="370" t="s">
        <v>138</v>
      </c>
      <c r="D296" t="e">
        <f>'Design Regulator'!#REF!</f>
        <v>#REF!</v>
      </c>
      <c r="E296" s="46"/>
      <c r="I296" s="57"/>
    </row>
    <row r="297" spans="1:9" x14ac:dyDescent="0.3">
      <c r="A297" s="113" t="s">
        <v>776</v>
      </c>
      <c r="B297" s="113" t="e">
        <f>CHOOSE(OSC,5,1)</f>
        <v>#VALUE!</v>
      </c>
      <c r="C297" s="370" t="s">
        <v>141</v>
      </c>
      <c r="D297" t="e">
        <f>B297*0.000000001</f>
        <v>#VALUE!</v>
      </c>
      <c r="E297" s="46"/>
      <c r="F297" s="113" t="s">
        <v>854</v>
      </c>
      <c r="I297" s="57"/>
    </row>
    <row r="298" spans="1:9" x14ac:dyDescent="0.3">
      <c r="A298" s="113" t="s">
        <v>777</v>
      </c>
      <c r="B298" s="113" t="e">
        <f>CHOOSE(OSC,200,1000)</f>
        <v>#VALUE!</v>
      </c>
      <c r="C298" s="370" t="s">
        <v>138</v>
      </c>
      <c r="E298" s="46"/>
      <c r="I298" s="57"/>
    </row>
    <row r="299" spans="1:9" x14ac:dyDescent="0.3">
      <c r="A299" s="113" t="s">
        <v>778</v>
      </c>
      <c r="B299" s="113" t="e">
        <f>Gop_AEF*B297</f>
        <v>#VALUE!</v>
      </c>
      <c r="C299" s="370" t="s">
        <v>141</v>
      </c>
      <c r="D299" t="e">
        <f>B299*0.000000001</f>
        <v>#VALUE!</v>
      </c>
      <c r="E299" s="46"/>
      <c r="I299" s="57"/>
    </row>
    <row r="300" spans="1:9" x14ac:dyDescent="0.3">
      <c r="A300" s="113"/>
      <c r="B300" s="113"/>
      <c r="C300" s="370"/>
      <c r="E300" s="46"/>
      <c r="I300" s="57"/>
    </row>
    <row r="301" spans="1:9" x14ac:dyDescent="0.3">
      <c r="A301" s="113" t="s">
        <v>908</v>
      </c>
      <c r="B301" s="113">
        <f>SQRT(L_infilter*0.000001/Cin)</f>
        <v>0.15055453054181619</v>
      </c>
      <c r="C301" s="370"/>
      <c r="D301" s="4">
        <f>'Standard Value Calculator'!S14</f>
        <v>0.15</v>
      </c>
      <c r="E301" s="46"/>
      <c r="I301" s="57"/>
    </row>
    <row r="302" spans="1:9" x14ac:dyDescent="0.3">
      <c r="A302" s="2"/>
      <c r="B302" s="113"/>
      <c r="C302" s="46"/>
      <c r="E302" s="46"/>
      <c r="I302" s="57"/>
    </row>
    <row r="303" spans="1:9" x14ac:dyDescent="0.3">
      <c r="A303" s="2" t="s">
        <v>785</v>
      </c>
      <c r="B303" s="113">
        <f>'Input Filter Calculations'!W97</f>
        <v>0</v>
      </c>
      <c r="C303" s="1" t="s">
        <v>770</v>
      </c>
      <c r="E303" s="46"/>
      <c r="I303" s="57"/>
    </row>
    <row r="304" spans="1:9" x14ac:dyDescent="0.3">
      <c r="A304" s="2" t="s">
        <v>802</v>
      </c>
      <c r="B304" s="113">
        <f>VinRipple_dBuV+B303</f>
        <v>90.276721041428459</v>
      </c>
      <c r="C304" s="1" t="s">
        <v>770</v>
      </c>
      <c r="E304" s="46"/>
      <c r="I304" s="57"/>
    </row>
    <row r="305" spans="1:9" ht="13.5" thickBot="1" x14ac:dyDescent="0.35">
      <c r="A305" s="371"/>
      <c r="B305" s="371"/>
      <c r="C305" s="71"/>
      <c r="D305" s="61"/>
      <c r="E305" s="71"/>
      <c r="F305" s="61"/>
      <c r="G305" s="61"/>
      <c r="H305" s="61"/>
      <c r="I305" s="62"/>
    </row>
    <row r="306" spans="1:9" x14ac:dyDescent="0.3">
      <c r="A306" s="1"/>
      <c r="B306" s="46"/>
      <c r="C306" s="46"/>
      <c r="E306" s="46"/>
    </row>
    <row r="307" spans="1:9" ht="16" thickBot="1" x14ac:dyDescent="0.4">
      <c r="A307" s="91" t="s">
        <v>190</v>
      </c>
    </row>
    <row r="308" spans="1:9" x14ac:dyDescent="0.3">
      <c r="A308" s="208" t="s">
        <v>586</v>
      </c>
      <c r="B308" s="63">
        <v>0</v>
      </c>
      <c r="C308" s="288"/>
      <c r="D308" s="63"/>
      <c r="E308" s="63"/>
      <c r="F308" s="63"/>
      <c r="G308" s="63"/>
      <c r="H308" s="63"/>
      <c r="I308" s="64"/>
    </row>
    <row r="309" spans="1:9" x14ac:dyDescent="0.3">
      <c r="A309" s="66" t="s">
        <v>55</v>
      </c>
      <c r="I309" s="57"/>
    </row>
    <row r="310" spans="1:9" ht="12.5" x14ac:dyDescent="0.25">
      <c r="A310" s="56" t="s">
        <v>83</v>
      </c>
      <c r="B310" s="29">
        <f>'Design Regulator'!E13</f>
        <v>25</v>
      </c>
      <c r="C310" s="113" t="s">
        <v>223</v>
      </c>
      <c r="D310" t="s">
        <v>96</v>
      </c>
      <c r="I310" s="57"/>
    </row>
    <row r="311" spans="1:9" x14ac:dyDescent="0.3">
      <c r="A311" s="66" t="s">
        <v>58</v>
      </c>
      <c r="C311"/>
      <c r="I311" s="57"/>
    </row>
    <row r="312" spans="1:9" ht="12.5" x14ac:dyDescent="0.25">
      <c r="A312" s="56" t="s">
        <v>82</v>
      </c>
      <c r="B312" s="59">
        <f>4000/1000000</f>
        <v>4.0000000000000001E-3</v>
      </c>
      <c r="C312" s="113" t="s">
        <v>271</v>
      </c>
      <c r="D312" s="113" t="s">
        <v>465</v>
      </c>
      <c r="I312" s="57"/>
    </row>
    <row r="313" spans="1:9" ht="15.5" x14ac:dyDescent="0.4">
      <c r="A313" s="209" t="s">
        <v>462</v>
      </c>
      <c r="B313" s="59">
        <v>20</v>
      </c>
      <c r="C313" s="113" t="s">
        <v>202</v>
      </c>
      <c r="D313" s="113" t="s">
        <v>463</v>
      </c>
      <c r="I313" s="57"/>
    </row>
    <row r="314" spans="1:9" ht="12.5" x14ac:dyDescent="0.25">
      <c r="A314" s="56" t="s">
        <v>86</v>
      </c>
      <c r="B314" s="29">
        <f>RCinEsr</f>
        <v>1E-3</v>
      </c>
      <c r="C314" s="210" t="s">
        <v>116</v>
      </c>
      <c r="D314" s="113" t="s">
        <v>464</v>
      </c>
      <c r="I314" s="57"/>
    </row>
    <row r="315" spans="1:9" ht="12.5" x14ac:dyDescent="0.25">
      <c r="A315" s="56"/>
      <c r="B315" s="29"/>
      <c r="C315" s="210"/>
      <c r="D315" s="113"/>
      <c r="I315" s="57"/>
    </row>
    <row r="316" spans="1:9" x14ac:dyDescent="0.3">
      <c r="A316" s="65" t="s">
        <v>666</v>
      </c>
      <c r="C316"/>
      <c r="I316" s="57"/>
    </row>
    <row r="317" spans="1:9" x14ac:dyDescent="0.3">
      <c r="A317" s="209" t="s">
        <v>640</v>
      </c>
      <c r="B317" s="59">
        <v>5</v>
      </c>
      <c r="C317" t="s">
        <v>0</v>
      </c>
      <c r="D317" s="350" t="s">
        <v>664</v>
      </c>
      <c r="I317" s="57"/>
    </row>
    <row r="318" spans="1:9" x14ac:dyDescent="0.3">
      <c r="A318" s="66" t="s">
        <v>112</v>
      </c>
      <c r="C318"/>
      <c r="I318" s="57"/>
    </row>
    <row r="319" spans="1:9" ht="12.5" x14ac:dyDescent="0.25">
      <c r="A319" s="56" t="s">
        <v>61</v>
      </c>
      <c r="B319" s="59">
        <v>1</v>
      </c>
      <c r="C319" s="210" t="s">
        <v>116</v>
      </c>
      <c r="D319" s="113" t="s">
        <v>390</v>
      </c>
      <c r="I319" s="57"/>
    </row>
    <row r="320" spans="1:9" ht="12.5" x14ac:dyDescent="0.25">
      <c r="A320" s="56" t="s">
        <v>126</v>
      </c>
      <c r="B320" s="59">
        <v>0.5</v>
      </c>
      <c r="C320" s="210" t="s">
        <v>116</v>
      </c>
      <c r="D320" s="113" t="s">
        <v>391</v>
      </c>
      <c r="I320" s="57"/>
    </row>
    <row r="321" spans="1:9" x14ac:dyDescent="0.3">
      <c r="A321" s="66" t="s">
        <v>113</v>
      </c>
      <c r="C321"/>
      <c r="I321" s="57"/>
    </row>
    <row r="322" spans="1:9" ht="12.5" x14ac:dyDescent="0.25">
      <c r="A322" s="56" t="s">
        <v>60</v>
      </c>
      <c r="B322" s="105">
        <v>1</v>
      </c>
      <c r="C322" s="210" t="s">
        <v>116</v>
      </c>
      <c r="D322" s="113" t="s">
        <v>392</v>
      </c>
      <c r="I322" s="57"/>
    </row>
    <row r="323" spans="1:9" ht="12.5" x14ac:dyDescent="0.25">
      <c r="A323" s="56" t="s">
        <v>125</v>
      </c>
      <c r="B323" s="59">
        <v>0.5</v>
      </c>
      <c r="C323" s="210" t="s">
        <v>116</v>
      </c>
      <c r="D323" s="113" t="s">
        <v>393</v>
      </c>
      <c r="I323" s="57"/>
    </row>
    <row r="324" spans="1:9" x14ac:dyDescent="0.3">
      <c r="A324" s="66" t="s">
        <v>62</v>
      </c>
      <c r="C324"/>
      <c r="I324" s="57"/>
    </row>
    <row r="325" spans="1:9" x14ac:dyDescent="0.3">
      <c r="A325" s="56" t="s">
        <v>62</v>
      </c>
      <c r="B325" s="67">
        <v>1.4E-8</v>
      </c>
      <c r="C325" t="s">
        <v>133</v>
      </c>
      <c r="D325" t="s">
        <v>98</v>
      </c>
      <c r="G325" s="350" t="s">
        <v>736</v>
      </c>
      <c r="I325" s="57"/>
    </row>
    <row r="326" spans="1:9" x14ac:dyDescent="0.3">
      <c r="A326" s="66" t="s">
        <v>52</v>
      </c>
      <c r="C326"/>
      <c r="I326" s="57"/>
    </row>
    <row r="327" spans="1:9" ht="12.5" x14ac:dyDescent="0.25">
      <c r="A327" s="56" t="s">
        <v>128</v>
      </c>
      <c r="B327" s="59">
        <v>2.2000000000000001E-6</v>
      </c>
      <c r="C327" t="s">
        <v>1</v>
      </c>
      <c r="D327" s="113" t="s">
        <v>665</v>
      </c>
      <c r="I327" s="57"/>
    </row>
    <row r="328" spans="1:9" ht="12.5" x14ac:dyDescent="0.25">
      <c r="A328" s="56"/>
      <c r="C328"/>
      <c r="I328" s="57"/>
    </row>
    <row r="329" spans="1:9" x14ac:dyDescent="0.3">
      <c r="A329" s="66" t="s">
        <v>663</v>
      </c>
      <c r="B329" s="2" t="s">
        <v>512</v>
      </c>
      <c r="C329"/>
      <c r="D329" s="2" t="s">
        <v>513</v>
      </c>
      <c r="I329" s="57"/>
    </row>
    <row r="330" spans="1:9" ht="12.5" x14ac:dyDescent="0.25">
      <c r="A330" s="209" t="s">
        <v>514</v>
      </c>
      <c r="B330" s="29">
        <f>'Design Regulator'!E82/1000</f>
        <v>1.2E-2</v>
      </c>
      <c r="C330" s="210" t="s">
        <v>116</v>
      </c>
      <c r="D330" s="29">
        <f>'Design Regulator'!F82/1000</f>
        <v>4.0999999999999995E-3</v>
      </c>
      <c r="E330" s="210" t="s">
        <v>116</v>
      </c>
      <c r="F330" s="113" t="s">
        <v>668</v>
      </c>
      <c r="I330" s="57"/>
    </row>
    <row r="331" spans="1:9" ht="12.5" x14ac:dyDescent="0.25">
      <c r="A331" s="56" t="s">
        <v>79</v>
      </c>
      <c r="B331" s="59">
        <f>4000/1000000</f>
        <v>4.0000000000000001E-3</v>
      </c>
      <c r="C331" s="113" t="s">
        <v>271</v>
      </c>
      <c r="D331" s="395">
        <v>4.0000000000000001E-3</v>
      </c>
      <c r="E331" s="113" t="s">
        <v>271</v>
      </c>
      <c r="F331" s="113" t="s">
        <v>394</v>
      </c>
      <c r="I331" s="57"/>
    </row>
    <row r="332" spans="1:9" ht="12.5" x14ac:dyDescent="0.25">
      <c r="A332" s="209" t="s">
        <v>122</v>
      </c>
      <c r="B332" s="72">
        <f>'Design Regulator'!E83/1000000000</f>
        <v>8.0000000000000005E-9</v>
      </c>
      <c r="C332" t="s">
        <v>134</v>
      </c>
      <c r="D332" s="72">
        <f>'Design Regulator'!F83/1000000000</f>
        <v>2.4999999999999999E-8</v>
      </c>
      <c r="E332" t="s">
        <v>134</v>
      </c>
      <c r="F332" s="113" t="s">
        <v>667</v>
      </c>
      <c r="I332" s="57"/>
    </row>
    <row r="333" spans="1:9" ht="12.5" x14ac:dyDescent="0.25">
      <c r="A333" s="209" t="s">
        <v>515</v>
      </c>
      <c r="B333" s="72">
        <f>'Design Regulator'!E84/1000000000</f>
        <v>2.8999999999999999E-9</v>
      </c>
      <c r="C333" t="s">
        <v>134</v>
      </c>
      <c r="D333" s="72">
        <f>'Design Regulator'!F84/1000000000</f>
        <v>8.9999999999999995E-9</v>
      </c>
      <c r="E333" t="s">
        <v>134</v>
      </c>
      <c r="F333" t="s">
        <v>121</v>
      </c>
      <c r="I333" s="57"/>
    </row>
    <row r="334" spans="1:9" ht="12.5" x14ac:dyDescent="0.25">
      <c r="A334" s="209" t="s">
        <v>516</v>
      </c>
      <c r="B334" s="72">
        <f>'Design Regulator'!E85/1000000000</f>
        <v>3.1E-9</v>
      </c>
      <c r="C334" t="s">
        <v>134</v>
      </c>
      <c r="D334" s="72">
        <f>'Design Regulator'!F85/1000000000</f>
        <v>8.6999999999999985E-9</v>
      </c>
      <c r="E334" t="s">
        <v>134</v>
      </c>
      <c r="F334" t="s">
        <v>719</v>
      </c>
      <c r="I334" s="57"/>
    </row>
    <row r="335" spans="1:9" ht="12.5" x14ac:dyDescent="0.25">
      <c r="A335" s="585" t="s">
        <v>715</v>
      </c>
      <c r="B335" s="72">
        <f>'Design Regulator'!E86/1000000000</f>
        <v>0</v>
      </c>
      <c r="C335" t="s">
        <v>134</v>
      </c>
      <c r="D335" s="72">
        <f>'Design Regulator'!F86/1000000000</f>
        <v>2.9999999999999997E-8</v>
      </c>
      <c r="E335" t="s">
        <v>134</v>
      </c>
      <c r="F335" s="113" t="s">
        <v>717</v>
      </c>
      <c r="I335" s="57"/>
    </row>
    <row r="336" spans="1:9" ht="12.5" x14ac:dyDescent="0.25">
      <c r="A336" s="585" t="s">
        <v>716</v>
      </c>
      <c r="B336" s="72">
        <f>'Design Regulator'!E87/1000000000000</f>
        <v>1.16E-10</v>
      </c>
      <c r="C336" t="s">
        <v>24</v>
      </c>
      <c r="D336" s="72">
        <f>'Design Regulator'!F87/1000000000000</f>
        <v>3.6599999999999998E-10</v>
      </c>
      <c r="E336" t="s">
        <v>24</v>
      </c>
      <c r="F336" s="113" t="s">
        <v>718</v>
      </c>
      <c r="I336" s="57"/>
    </row>
    <row r="337" spans="1:9" ht="12.5" x14ac:dyDescent="0.25">
      <c r="A337" s="209" t="s">
        <v>517</v>
      </c>
      <c r="B337" s="29">
        <f>'Design Regulator'!E88</f>
        <v>1.2</v>
      </c>
      <c r="C337" s="210" t="s">
        <v>116</v>
      </c>
      <c r="D337" s="29">
        <f>'Design Regulator'!F88</f>
        <v>1.2</v>
      </c>
      <c r="E337" s="210" t="s">
        <v>116</v>
      </c>
      <c r="F337" t="s">
        <v>100</v>
      </c>
      <c r="I337" s="57"/>
    </row>
    <row r="338" spans="1:9" ht="12.5" x14ac:dyDescent="0.25">
      <c r="A338" s="209" t="s">
        <v>518</v>
      </c>
      <c r="B338" s="29">
        <f>'Design Regulator'!E89</f>
        <v>55</v>
      </c>
      <c r="C338" t="s">
        <v>66</v>
      </c>
      <c r="D338" s="29">
        <f>'Design Regulator'!F89</f>
        <v>178</v>
      </c>
      <c r="E338" t="s">
        <v>66</v>
      </c>
      <c r="F338" s="113" t="s">
        <v>670</v>
      </c>
      <c r="I338" s="57"/>
    </row>
    <row r="339" spans="1:9" ht="12.5" x14ac:dyDescent="0.25">
      <c r="A339" s="209" t="s">
        <v>519</v>
      </c>
      <c r="B339" s="29">
        <f>'Design Regulator'!E90</f>
        <v>3.1</v>
      </c>
      <c r="C339" t="s">
        <v>0</v>
      </c>
      <c r="D339" s="29">
        <f>'Design Regulator'!F90</f>
        <v>3</v>
      </c>
      <c r="E339" t="s">
        <v>0</v>
      </c>
      <c r="F339" s="113" t="s">
        <v>671</v>
      </c>
      <c r="I339" s="57"/>
    </row>
    <row r="340" spans="1:9" ht="12.5" x14ac:dyDescent="0.25">
      <c r="A340" s="209" t="s">
        <v>520</v>
      </c>
      <c r="B340" s="376">
        <f>Vth_Q1+(Iout/Number_of_Phases)/Gfs_Q1</f>
        <v>3.1272727272727274</v>
      </c>
      <c r="C340" t="s">
        <v>0</v>
      </c>
      <c r="D340" s="376">
        <f>Vth_Q2+(Iout/Number_of_Phases)/Gfs_Q2</f>
        <v>3.0084269662921348</v>
      </c>
      <c r="E340" t="s">
        <v>0</v>
      </c>
      <c r="F340" s="113" t="s">
        <v>672</v>
      </c>
      <c r="I340" s="57"/>
    </row>
    <row r="341" spans="1:9" ht="12.5" x14ac:dyDescent="0.25">
      <c r="A341" s="56"/>
      <c r="C341"/>
      <c r="F341" s="113"/>
      <c r="I341" s="57"/>
    </row>
    <row r="342" spans="1:9" ht="12.5" x14ac:dyDescent="0.25">
      <c r="A342" s="209" t="s">
        <v>522</v>
      </c>
      <c r="B342" s="29">
        <f>'Design Regulator'!E91</f>
        <v>0.7</v>
      </c>
      <c r="C342" t="s">
        <v>0</v>
      </c>
      <c r="D342" s="29">
        <f>'Design Regulator'!F91</f>
        <v>0.7</v>
      </c>
      <c r="E342" t="s">
        <v>0</v>
      </c>
      <c r="F342" s="113" t="s">
        <v>521</v>
      </c>
      <c r="I342" s="57"/>
    </row>
    <row r="343" spans="1:9" ht="12.5" x14ac:dyDescent="0.25">
      <c r="A343" s="209" t="s">
        <v>482</v>
      </c>
      <c r="B343" s="72"/>
      <c r="C343" t="s">
        <v>134</v>
      </c>
      <c r="D343" s="72">
        <f>'Design Regulator'!F92/1000000000</f>
        <v>5.8999999999999999E-8</v>
      </c>
      <c r="E343" t="s">
        <v>134</v>
      </c>
      <c r="F343" t="s">
        <v>110</v>
      </c>
      <c r="I343" s="57"/>
    </row>
    <row r="344" spans="1:9" ht="12.5" x14ac:dyDescent="0.25">
      <c r="A344" s="209" t="s">
        <v>483</v>
      </c>
      <c r="B344" s="72">
        <v>4.0000000000000001E-8</v>
      </c>
      <c r="C344" t="s">
        <v>133</v>
      </c>
      <c r="D344" s="72">
        <v>4.0000000000000001E-8</v>
      </c>
      <c r="E344" t="s">
        <v>133</v>
      </c>
      <c r="F344" t="s">
        <v>106</v>
      </c>
      <c r="I344" s="57"/>
    </row>
    <row r="345" spans="1:9" ht="12.5" x14ac:dyDescent="0.25">
      <c r="A345" s="209" t="s">
        <v>579</v>
      </c>
      <c r="B345" s="29">
        <f>'Design Regulator'!E93</f>
        <v>42</v>
      </c>
      <c r="C345" s="113" t="s">
        <v>202</v>
      </c>
      <c r="D345" s="29">
        <f>'Design Regulator'!F93</f>
        <v>40.700000000000003</v>
      </c>
      <c r="E345" s="113" t="s">
        <v>202</v>
      </c>
      <c r="F345" s="113" t="s">
        <v>669</v>
      </c>
      <c r="I345" s="57"/>
    </row>
    <row r="346" spans="1:9" ht="12.5" x14ac:dyDescent="0.25">
      <c r="A346" s="209"/>
      <c r="B346" s="29"/>
      <c r="C346" s="113"/>
      <c r="D346" s="29"/>
      <c r="E346" s="113"/>
      <c r="I346" s="57"/>
    </row>
    <row r="347" spans="1:9" ht="12.5" x14ac:dyDescent="0.25">
      <c r="A347" s="209"/>
      <c r="B347" s="113"/>
      <c r="C347" s="113"/>
      <c r="D347" s="113"/>
      <c r="E347" s="113"/>
      <c r="I347" s="57"/>
    </row>
    <row r="348" spans="1:9" ht="12.5" x14ac:dyDescent="0.25">
      <c r="A348" s="209"/>
      <c r="B348" s="29"/>
      <c r="C348" s="113"/>
      <c r="D348" s="29"/>
      <c r="E348" s="113"/>
      <c r="I348" s="57"/>
    </row>
    <row r="349" spans="1:9" x14ac:dyDescent="0.3">
      <c r="A349" s="66" t="s">
        <v>506</v>
      </c>
      <c r="B349" s="472"/>
      <c r="D349" s="472"/>
      <c r="I349" s="57"/>
    </row>
    <row r="350" spans="1:9" ht="12.5" x14ac:dyDescent="0.25">
      <c r="A350" s="56" t="s">
        <v>192</v>
      </c>
      <c r="B350" s="29">
        <f>'Design Regulator'!F96</f>
        <v>0</v>
      </c>
      <c r="C350" t="s">
        <v>0</v>
      </c>
      <c r="D350" s="29" t="e">
        <f>'Design Regulator'!#REF!</f>
        <v>#REF!</v>
      </c>
      <c r="E350" t="s">
        <v>0</v>
      </c>
      <c r="F350" t="s">
        <v>195</v>
      </c>
      <c r="I350" s="57"/>
    </row>
    <row r="351" spans="1:9" ht="12.5" x14ac:dyDescent="0.25">
      <c r="A351" s="56" t="s">
        <v>193</v>
      </c>
      <c r="B351" s="72">
        <f>'Design Regulator'!F97/1000000000</f>
        <v>0</v>
      </c>
      <c r="C351" t="s">
        <v>134</v>
      </c>
      <c r="D351" s="72" t="e">
        <f>'Design Regulator'!#REF!/1000000000</f>
        <v>#REF!</v>
      </c>
      <c r="E351" t="s">
        <v>134</v>
      </c>
      <c r="F351" t="s">
        <v>196</v>
      </c>
      <c r="I351" s="57"/>
    </row>
    <row r="352" spans="1:9" ht="12.5" x14ac:dyDescent="0.25">
      <c r="A352" s="56" t="s">
        <v>194</v>
      </c>
      <c r="B352" s="29">
        <v>0</v>
      </c>
      <c r="C352" t="s">
        <v>1</v>
      </c>
      <c r="D352" s="29">
        <v>0</v>
      </c>
      <c r="E352" t="s">
        <v>1</v>
      </c>
      <c r="F352" t="s">
        <v>197</v>
      </c>
      <c r="I352" s="57"/>
    </row>
    <row r="353" spans="1:9" ht="12.5" x14ac:dyDescent="0.25">
      <c r="A353" s="56"/>
      <c r="C353"/>
      <c r="I353" s="57"/>
    </row>
    <row r="354" spans="1:9" x14ac:dyDescent="0.3">
      <c r="A354" s="66" t="s">
        <v>117</v>
      </c>
      <c r="C354"/>
      <c r="I354" s="57"/>
    </row>
    <row r="355" spans="1:9" ht="12.5" x14ac:dyDescent="0.25">
      <c r="A355" s="209" t="s">
        <v>457</v>
      </c>
      <c r="B355" s="395">
        <v>34.1</v>
      </c>
      <c r="C355" s="113" t="s">
        <v>202</v>
      </c>
      <c r="D355" s="113"/>
      <c r="E355" s="113"/>
      <c r="F355" t="s">
        <v>461</v>
      </c>
      <c r="I355" s="57"/>
    </row>
    <row r="356" spans="1:9" x14ac:dyDescent="0.3">
      <c r="A356" s="66" t="s">
        <v>77</v>
      </c>
      <c r="C356"/>
      <c r="I356" s="57"/>
    </row>
    <row r="357" spans="1:9" ht="12.5" x14ac:dyDescent="0.25">
      <c r="A357" s="209" t="s">
        <v>59</v>
      </c>
      <c r="C357"/>
      <c r="I357" s="57"/>
    </row>
    <row r="358" spans="1:9" ht="12.5" x14ac:dyDescent="0.25">
      <c r="A358" s="56" t="s">
        <v>88</v>
      </c>
      <c r="B358" s="69">
        <f>(Qgd_Q1+Qgs_Q1/2)*(RdsonDRT+Rgate1)/(VCC-Vsp_Q1)</f>
        <v>5.2276699029126216E-9</v>
      </c>
      <c r="C358" t="s">
        <v>133</v>
      </c>
      <c r="D358" s="30"/>
      <c r="I358" s="57"/>
    </row>
    <row r="359" spans="1:9" ht="12.5" x14ac:dyDescent="0.25">
      <c r="A359" s="56" t="s">
        <v>89</v>
      </c>
      <c r="B359" s="69">
        <f>(Qgd_Q1+Qgs_Q1/2)*(RdsonDRT2+Rgate1)/(Vsp_Q1)</f>
        <v>2.4190406976744187E-9</v>
      </c>
      <c r="C359" t="s">
        <v>133</v>
      </c>
      <c r="D359" s="30"/>
      <c r="I359" s="57"/>
    </row>
    <row r="360" spans="1:9" ht="12.5" x14ac:dyDescent="0.25">
      <c r="A360" s="56"/>
      <c r="C360"/>
      <c r="I360" s="57"/>
    </row>
    <row r="361" spans="1:9" x14ac:dyDescent="0.3">
      <c r="A361" s="66" t="s">
        <v>400</v>
      </c>
      <c r="B361" s="2" t="s">
        <v>7</v>
      </c>
      <c r="C361" s="2" t="s">
        <v>76</v>
      </c>
      <c r="I361" s="57"/>
    </row>
    <row r="362" spans="1:9" ht="12.5" x14ac:dyDescent="0.25">
      <c r="A362" s="58" t="s">
        <v>115</v>
      </c>
      <c r="B362" s="3">
        <f>CHOOSE(Ext_VCC, (Qg_Q1+Qg_Q2)*Fsw*VCC, (Qg_Q1+Qg_Q2)*Fsw*Vin)</f>
        <v>6.6937199999999988E-2</v>
      </c>
      <c r="C362" s="3" t="s">
        <v>116</v>
      </c>
      <c r="I362" s="57"/>
    </row>
    <row r="363" spans="1:9" ht="12.5" x14ac:dyDescent="0.25">
      <c r="A363" s="58" t="s">
        <v>119</v>
      </c>
      <c r="B363" s="584">
        <f>B362*ThetaJaCtrl</f>
        <v>2.2825585199999998</v>
      </c>
      <c r="C363" s="113" t="s">
        <v>223</v>
      </c>
      <c r="I363" s="57"/>
    </row>
    <row r="364" spans="1:9" ht="12.5" x14ac:dyDescent="0.25">
      <c r="A364" s="209" t="s">
        <v>703</v>
      </c>
      <c r="B364" s="584">
        <f>B363 + Ta</f>
        <v>27.282558519999998</v>
      </c>
      <c r="C364" s="113" t="s">
        <v>223</v>
      </c>
      <c r="I364" s="57"/>
    </row>
    <row r="365" spans="1:9" ht="12.5" x14ac:dyDescent="0.25">
      <c r="A365" s="585"/>
      <c r="B365" s="584"/>
      <c r="C365" s="113"/>
      <c r="I365" s="57"/>
    </row>
    <row r="366" spans="1:9" ht="12.5" x14ac:dyDescent="0.25">
      <c r="A366" s="58" t="s">
        <v>207</v>
      </c>
      <c r="B366" s="42">
        <f>(Qg_Q1+Qg_Q2)*Fsw+Iq</f>
        <v>1.338964E-2</v>
      </c>
      <c r="C366" t="s">
        <v>1</v>
      </c>
      <c r="I366" s="57"/>
    </row>
    <row r="367" spans="1:9" ht="12.5" x14ac:dyDescent="0.25">
      <c r="A367" s="58" t="s">
        <v>208</v>
      </c>
      <c r="B367">
        <f>Qrr_Q2*Fsw</f>
        <v>2.3935120000000001E-2</v>
      </c>
      <c r="C367" t="s">
        <v>1</v>
      </c>
      <c r="I367" s="57"/>
    </row>
    <row r="368" spans="1:9" ht="12.5" x14ac:dyDescent="0.25">
      <c r="A368" s="58" t="s">
        <v>209</v>
      </c>
      <c r="B368" t="e">
        <f>C368/Vin</f>
        <v>#NAME?</v>
      </c>
      <c r="C368" t="e">
        <f>Deadtime*Fsw*(Ipp/2)*(Vsd_Q1+Vsd_Q2)</f>
        <v>#NAME?</v>
      </c>
      <c r="I368" s="57"/>
    </row>
    <row r="369" spans="1:9" ht="12.5" x14ac:dyDescent="0.25">
      <c r="A369" s="58" t="s">
        <v>211</v>
      </c>
      <c r="B369" t="e">
        <f>SUM(B366:B368)</f>
        <v>#NAME?</v>
      </c>
      <c r="C369" t="s">
        <v>1</v>
      </c>
      <c r="I369" s="57"/>
    </row>
    <row r="370" spans="1:9" x14ac:dyDescent="0.3">
      <c r="A370" s="56"/>
      <c r="I370" s="57"/>
    </row>
    <row r="371" spans="1:9" x14ac:dyDescent="0.3">
      <c r="A371" s="66" t="s">
        <v>427</v>
      </c>
      <c r="I371" s="57"/>
    </row>
    <row r="372" spans="1:9" x14ac:dyDescent="0.3">
      <c r="A372" s="56" t="s">
        <v>114</v>
      </c>
      <c r="I372" s="57"/>
    </row>
    <row r="373" spans="1:9" ht="13.5" thickBot="1" x14ac:dyDescent="0.35">
      <c r="A373" s="60" t="s">
        <v>115</v>
      </c>
      <c r="B373" s="61"/>
      <c r="C373" s="289"/>
      <c r="D373" s="61"/>
      <c r="E373" s="61"/>
      <c r="F373" s="61"/>
      <c r="G373" s="61"/>
      <c r="H373" s="61"/>
      <c r="I373" s="62"/>
    </row>
    <row r="374" spans="1:9" x14ac:dyDescent="0.3">
      <c r="A374" s="1"/>
      <c r="B374" s="1"/>
      <c r="C374" s="1"/>
    </row>
    <row r="375" spans="1:9" ht="21.75" customHeight="1" thickBot="1" x14ac:dyDescent="0.4">
      <c r="A375" s="88" t="s">
        <v>203</v>
      </c>
      <c r="D375" s="2"/>
    </row>
    <row r="376" spans="1:9" x14ac:dyDescent="0.3">
      <c r="A376" s="89" t="str">
        <f>"RC1 = "&amp;'Design Regulator'!D71&amp;"kΩ"</f>
        <v>RC1 = 45.3kΩ</v>
      </c>
      <c r="B376" s="63" t="str">
        <f>'Design Regulator'!D71&amp;"kΩ"</f>
        <v>45.3kΩ</v>
      </c>
      <c r="C376" s="288"/>
      <c r="D376" s="283" t="str">
        <f>'Design Regulator'!D74&amp;"kΩ"</f>
        <v>kΩ</v>
      </c>
      <c r="E376" s="63"/>
      <c r="F376" s="63"/>
      <c r="G376" s="63"/>
      <c r="H376" s="63"/>
      <c r="I376" s="64"/>
    </row>
    <row r="377" spans="1:9" x14ac:dyDescent="0.3">
      <c r="A377" s="56" t="str">
        <f>"RC2 = "&amp;'Design Regulator'!D74&amp;"kΩ"</f>
        <v>RC2 = kΩ</v>
      </c>
      <c r="B377" t="str">
        <f>'Design Regulator'!D74&amp;"kΩ"</f>
        <v>kΩ</v>
      </c>
      <c r="I377" s="57"/>
    </row>
    <row r="378" spans="1:9" x14ac:dyDescent="0.3">
      <c r="A378" s="56"/>
      <c r="I378" s="57"/>
    </row>
    <row r="379" spans="1:9" x14ac:dyDescent="0.3">
      <c r="A379" s="56" t="str">
        <f>"Lo = "&amp;'Design Regulator'!E27&amp;"µH"</f>
        <v>Lo = 6.8µH</v>
      </c>
      <c r="B379" t="str">
        <f>'Design Regulator'!E27&amp;"µH"</f>
        <v>6.8µH</v>
      </c>
      <c r="D379" t="str">
        <f>IF(MODE = 1, 'Design Regulator'!I27&amp;"µH", 'Design Regulator'!E27&amp;"µH")</f>
        <v>µH</v>
      </c>
      <c r="I379" s="57"/>
    </row>
    <row r="380" spans="1:9" x14ac:dyDescent="0.3">
      <c r="A380" s="56" t="str">
        <f>"Rdcr = "&amp;Rdcr*1000&amp;"mΩ"</f>
        <v>Rdcr = 3.5mΩ</v>
      </c>
      <c r="B380" t="str">
        <f>Rdcr*1000&amp;"mΩ"</f>
        <v>3.5mΩ</v>
      </c>
      <c r="D380" t="str">
        <f>IF(MODE=1, Rdcr2*1000&amp;"mΩ", Rdcr*1000&amp;"mΩ")</f>
        <v>0mΩ</v>
      </c>
      <c r="I380" s="57"/>
    </row>
    <row r="381" spans="1:9" x14ac:dyDescent="0.3">
      <c r="A381" s="56" t="str">
        <f>"Rs = "&amp;'Design Regulator'!E18&amp;"mΩ"</f>
        <v>Rs = 25mΩ</v>
      </c>
      <c r="B381" t="str">
        <f>'Design Regulator'!E18&amp;"mΩ"</f>
        <v>25mΩ</v>
      </c>
      <c r="D381" t="str">
        <f>IF(MODE = 1, 'Design Regulator'!I18&amp;"mΩ", 'Design Regulator'!E18&amp;"mΩ")</f>
        <v>mΩ</v>
      </c>
      <c r="I381" s="57"/>
    </row>
    <row r="382" spans="1:9" x14ac:dyDescent="0.3">
      <c r="A382" s="670"/>
      <c r="I382" s="57"/>
    </row>
    <row r="383" spans="1:9" x14ac:dyDescent="0.3">
      <c r="A383" s="585" t="s">
        <v>917</v>
      </c>
      <c r="B383" t="str">
        <f>IF(VIN_max&gt;42,"LM5148(-Q1)","LM25148(-Q1)")</f>
        <v>LM25148(-Q1)</v>
      </c>
      <c r="I383" s="57"/>
    </row>
    <row r="384" spans="1:9" x14ac:dyDescent="0.3">
      <c r="A384" s="56"/>
      <c r="I384" s="57"/>
    </row>
    <row r="385" spans="1:9" ht="12.5" x14ac:dyDescent="0.25">
      <c r="A385" s="670" t="str">
        <f>IF((INFILTER_TYPE=1),"AEF IS DISABLED!","AEF")</f>
        <v>AEF IS DISABLED!</v>
      </c>
      <c r="B385" s="113" t="str">
        <f>IF((INFILTER_TYPE=1),"","0.1µF")</f>
        <v/>
      </c>
      <c r="C385" s="113" t="str">
        <f>IF((INFILTER_TYPE=1),"","0.47Ω")</f>
        <v/>
      </c>
      <c r="D385" t="str">
        <f>IF((INFILTER_TYPE=1),"","3Ω")</f>
        <v/>
      </c>
      <c r="E385" t="str">
        <f>IF((INFILTER_TYPE=1),"","50kΩ")</f>
        <v/>
      </c>
      <c r="I385" s="57"/>
    </row>
    <row r="386" spans="1:9" ht="12.5" x14ac:dyDescent="0.25">
      <c r="A386" s="670" t="str">
        <f>"LAEF ="&amp;L_infilter&amp;" uF"</f>
        <v>LAEF =0.68 uF</v>
      </c>
      <c r="B386" s="113" t="str">
        <f>IF((INFILTER_TYPE=1),"",L_infilter&amp;"µH")</f>
        <v/>
      </c>
      <c r="C386" s="113"/>
      <c r="I386" s="57"/>
    </row>
    <row r="387" spans="1:9" x14ac:dyDescent="0.3">
      <c r="A387" s="670"/>
      <c r="B387" t="str">
        <f>IF((INFILTER_TYPE=1),"",CinjSel*1000000&amp;"µF")</f>
        <v/>
      </c>
      <c r="I387" s="57"/>
    </row>
    <row r="388" spans="1:9" x14ac:dyDescent="0.3">
      <c r="A388" s="670"/>
      <c r="B388" t="str">
        <f>IF((INFILTER_TYPE=1),"",IF(OSC=1,"DNP",CdampSel*1000000&amp;"µF"))</f>
        <v/>
      </c>
      <c r="I388" s="57"/>
    </row>
    <row r="389" spans="1:9" x14ac:dyDescent="0.3">
      <c r="A389" s="670"/>
      <c r="B389" t="str">
        <f>IF((INFILTER_TYPE=1),"",RdampSel&amp;"Ω")</f>
        <v/>
      </c>
      <c r="I389" s="57"/>
    </row>
    <row r="390" spans="1:9" x14ac:dyDescent="0.3">
      <c r="A390" s="670" t="e">
        <f>"Rcomp ="&amp;Rcomp_AEF&amp;"Ω"</f>
        <v>#VALUE!</v>
      </c>
      <c r="B390" t="str">
        <f>IF((INFILTER_TYPE=1),"",Rcomp_AEF&amp;"Ω")</f>
        <v/>
      </c>
      <c r="I390" s="57"/>
    </row>
    <row r="391" spans="1:9" x14ac:dyDescent="0.3">
      <c r="A391" s="670" t="e">
        <f>"Ccomp ="&amp;Ccomp_AEF*1000000000000&amp;"pF"</f>
        <v>#VALUE!</v>
      </c>
      <c r="B391" t="str">
        <f>IF((INFILTER_TYPE=1),"",Ccomp_AEF*1000000000000&amp;"pF")</f>
        <v/>
      </c>
      <c r="I391" s="57"/>
    </row>
    <row r="392" spans="1:9" x14ac:dyDescent="0.3">
      <c r="A392" s="670" t="e">
        <f>"Csen ="&amp;Csen_AEF*1000000&amp;"µF"</f>
        <v>#VALUE!</v>
      </c>
      <c r="B392" t="str">
        <f>IF((INFILTER_TYPE=1),"",Csen_AEF*1000000&amp;"µF")</f>
        <v/>
      </c>
      <c r="I392" s="57"/>
    </row>
    <row r="393" spans="1:9" ht="15.5" x14ac:dyDescent="0.4">
      <c r="A393" s="670"/>
      <c r="B393" s="113" t="s">
        <v>887</v>
      </c>
      <c r="I393" s="57"/>
    </row>
    <row r="394" spans="1:9" x14ac:dyDescent="0.3">
      <c r="A394" s="670"/>
      <c r="I394" s="57"/>
    </row>
    <row r="395" spans="1:9" x14ac:dyDescent="0.3">
      <c r="A395" s="56" t="str">
        <f>"VOUT = "&amp;'Design Regulator'!E9&amp;"V"</f>
        <v>VOUT = 3.3V</v>
      </c>
      <c r="B395" t="str">
        <f>'Design Regulator'!E9&amp;"V"</f>
        <v>3.3V</v>
      </c>
      <c r="D395" t="str">
        <f>IF(MODE=1, 'Design Regulator'!I10&amp;"V", "")</f>
        <v>V</v>
      </c>
      <c r="I395" s="57"/>
    </row>
    <row r="396" spans="1:9" x14ac:dyDescent="0.3">
      <c r="A396" s="56"/>
      <c r="I396" s="57"/>
    </row>
    <row r="397" spans="1:9" x14ac:dyDescent="0.3">
      <c r="A397" s="56" t="str">
        <f>"COUT = "&amp;'Design Regulator'!$E$35&amp;"µF"</f>
        <v>COUT = 200µF</v>
      </c>
      <c r="B397" t="str">
        <f>ROUND('Design Regulator'!$E$35/Number_of_Phases, 0)&amp;"µF"</f>
        <v>200µF</v>
      </c>
      <c r="D397" t="str">
        <f>IF(MODE=1, 'Design Regulator'!$I$35&amp;"µF", ROUND('Design Regulator'!$E$35/Number_of_Phases, 0)&amp;"µF")</f>
        <v>µF</v>
      </c>
      <c r="I397" s="57"/>
    </row>
    <row r="398" spans="1:9" x14ac:dyDescent="0.3">
      <c r="A398" s="209" t="s">
        <v>258</v>
      </c>
      <c r="B398" t="str">
        <f>"22µF"</f>
        <v>22µF</v>
      </c>
      <c r="I398" s="57"/>
    </row>
    <row r="399" spans="1:9" x14ac:dyDescent="0.3">
      <c r="A399" s="209" t="s">
        <v>259</v>
      </c>
      <c r="B399" s="115" t="str">
        <f>ROUNDUP(Cout*1000000/22,0)&amp;" x"</f>
        <v>10 x</v>
      </c>
      <c r="C399" s="290"/>
      <c r="I399" s="57"/>
    </row>
    <row r="400" spans="1:9" x14ac:dyDescent="0.3">
      <c r="A400" s="56"/>
      <c r="I400" s="57"/>
    </row>
    <row r="401" spans="1:9" x14ac:dyDescent="0.3">
      <c r="A401" s="56" t="s">
        <v>212</v>
      </c>
      <c r="B401" t="str">
        <f>Cin*1000000&amp;"µF"</f>
        <v>30µF</v>
      </c>
      <c r="I401" s="57"/>
    </row>
    <row r="402" spans="1:9" x14ac:dyDescent="0.3">
      <c r="A402" s="209" t="s">
        <v>257</v>
      </c>
      <c r="B402" t="str">
        <f>"10µF"</f>
        <v>10µF</v>
      </c>
      <c r="I402" s="57"/>
    </row>
    <row r="403" spans="1:9" x14ac:dyDescent="0.3">
      <c r="A403" s="209" t="s">
        <v>256</v>
      </c>
      <c r="B403" s="115" t="str">
        <f>ROUNDUP(Cin*1000000/10,0)&amp;" x"</f>
        <v>3 x</v>
      </c>
      <c r="C403" s="290"/>
      <c r="I403" s="57"/>
    </row>
    <row r="404" spans="1:9" x14ac:dyDescent="0.3">
      <c r="A404" s="585" t="s">
        <v>753</v>
      </c>
      <c r="B404" s="115" t="str">
        <f>CHOOSE(INFILTER_TYPE,"",4*Cin*1000000&amp;"µF")</f>
        <v/>
      </c>
      <c r="C404" s="290"/>
      <c r="E404">
        <f>COMP_TYPE</f>
        <v>2</v>
      </c>
      <c r="I404" s="57"/>
    </row>
    <row r="405" spans="1:9" x14ac:dyDescent="0.3">
      <c r="A405" s="585" t="s">
        <v>832</v>
      </c>
      <c r="B405" s="115" t="str">
        <f>CHOOSE(INFILTER_TYPE,"",D301&amp;"Ω")</f>
        <v/>
      </c>
      <c r="C405" s="290"/>
      <c r="I405" s="57"/>
    </row>
    <row r="406" spans="1:9" x14ac:dyDescent="0.3">
      <c r="A406" s="209"/>
      <c r="B406" s="115"/>
      <c r="C406" s="290"/>
      <c r="I406" s="57"/>
    </row>
    <row r="407" spans="1:9" ht="12.5" x14ac:dyDescent="0.25">
      <c r="A407" s="56" t="str">
        <f>"RC1 = "&amp;Rcea1_u/1000&amp;"kΩ"</f>
        <v>RC1 = 45.3kΩ</v>
      </c>
      <c r="B407" t="str">
        <f>IF(COMP_TYPE=1,"",ROUND(Rcea1_u/1000,2)&amp;"kΩ")</f>
        <v>45.3kΩ</v>
      </c>
      <c r="C407" t="str">
        <f>IF(OR(Vout=3.3,Vout=5,Vout=12),"",IF(COMP_TYPE=1,"100kΩ",""))</f>
        <v/>
      </c>
      <c r="D407" s="366" t="str">
        <f>IF(OR(Vout=3.3,Vout=5,Vout=12), IF(COMP_TYPE=1,"",ROUND(Rcea1_u/1000,2)&amp;"kΩ"), "")</f>
        <v>45.3kΩ</v>
      </c>
      <c r="E407" t="str">
        <f>IF(OR(Vout=3.3,Vout=5,Vout=12),IF(COMP_TYPE=1,"100kΩ",""),"")</f>
        <v/>
      </c>
      <c r="I407" s="57"/>
    </row>
    <row r="408" spans="1:9" ht="12.5" x14ac:dyDescent="0.25">
      <c r="A408" s="56" t="str">
        <f>"CC1 = "&amp;Cc1ea_u*10^9&amp;"nF"</f>
        <v>CC1 = 0.82nF</v>
      </c>
      <c r="B408" t="str">
        <f>IF(COMP_TYPE=1,"",Cc1ea_u*10^9&amp;"nF")</f>
        <v>0.82nF</v>
      </c>
      <c r="C408" s="113"/>
      <c r="I408" s="57"/>
    </row>
    <row r="409" spans="1:9" ht="12.5" x14ac:dyDescent="0.25">
      <c r="A409" s="56" t="str">
        <f>"CC2 = "&amp;IF(Cc2ea_u&gt;0, Cc2ea_u*10^12&amp;"pF", "OPEN")</f>
        <v>CC2 = OPEN</v>
      </c>
      <c r="B409" t="str">
        <f>IF(COMP_TYPE=1,"",IF(Cc2ea_u&gt;0, ROUND(Cc2ea_u*10^12,1)&amp;"pF", "N/A"))</f>
        <v>N/A</v>
      </c>
      <c r="C409" s="113"/>
      <c r="I409" s="57"/>
    </row>
    <row r="410" spans="1:9" x14ac:dyDescent="0.3">
      <c r="A410" s="56"/>
      <c r="I410" s="57"/>
    </row>
    <row r="411" spans="1:9" x14ac:dyDescent="0.3">
      <c r="A411" s="56" t="str">
        <f>"gm = "&amp;$B$200*1000&amp;"mS"</f>
        <v>gm = 1.2mS</v>
      </c>
      <c r="B411" t="str">
        <f>$B$200*1000&amp;"mS"</f>
        <v>1.2mS</v>
      </c>
      <c r="I411" s="57"/>
    </row>
    <row r="412" spans="1:9" x14ac:dyDescent="0.3">
      <c r="A412" s="56" t="str">
        <f>"RoEA = "&amp;RoEA/1000000&amp;"MΩ"</f>
        <v>RoEA = 64MΩ</v>
      </c>
      <c r="B412" t="str">
        <f>RoEA/1000000&amp;"MΩ"</f>
        <v>64MΩ</v>
      </c>
      <c r="I412" s="57"/>
    </row>
    <row r="413" spans="1:9" x14ac:dyDescent="0.3">
      <c r="A413" s="56" t="str">
        <f>"GBW = "&amp;GBW&amp;"MHz"</f>
        <v>GBW = 6MHz</v>
      </c>
      <c r="B413" t="str">
        <f>GBW&amp;"MHz"</f>
        <v>6MHz</v>
      </c>
      <c r="I413" s="57"/>
    </row>
    <row r="414" spans="1:9" x14ac:dyDescent="0.3">
      <c r="A414" s="56"/>
      <c r="I414" s="57"/>
    </row>
    <row r="415" spans="1:9" x14ac:dyDescent="0.3">
      <c r="A415" s="56"/>
      <c r="I415" s="57"/>
    </row>
    <row r="416" spans="1:9" x14ac:dyDescent="0.3">
      <c r="A416" s="209" t="s">
        <v>753</v>
      </c>
      <c r="B416" t="str">
        <f>IF(DITHER=1, ROUND(Cdither*1000000000,1)&amp;"nF", "")</f>
        <v>2.2nF</v>
      </c>
      <c r="C416" s="2" t="str">
        <f>IF(DITHER=1, "Cd", "")</f>
        <v>Cd</v>
      </c>
      <c r="I416" s="57"/>
    </row>
    <row r="417" spans="1:9" x14ac:dyDescent="0.3">
      <c r="A417" s="56" t="str">
        <f>"RFB1 = "&amp;'Design Regulator'!E65&amp;"kΩ"</f>
        <v>RFB1 = 78.7kΩ</v>
      </c>
      <c r="B417" t="str">
        <f>IF(VOUT_setting=1, 'Design Regulator'!E65&amp;"kΩ", "")</f>
        <v/>
      </c>
      <c r="D417" t="str">
        <f>'Design Regulator'!I65&amp;"kΩ"</f>
        <v>kΩ</v>
      </c>
      <c r="I417" s="57"/>
    </row>
    <row r="418" spans="1:9" x14ac:dyDescent="0.3">
      <c r="A418" s="56" t="str">
        <f>"RFB2 = "&amp;IF(Vout=Vref,"OPEN",'Design Regulator'!E66&amp;"kΩ")</f>
        <v>RFB2 = 792kΩ</v>
      </c>
      <c r="B418" t="str">
        <f>IF(VOUT_setting=1, IF(Vout=Vref,"OPEN",Rfb2_u/1000&amp;"kΩ"), "")</f>
        <v/>
      </c>
      <c r="D418" t="str">
        <f>IF(Vout2=Vref,"OPEN",Rfb4_u/1000&amp;"kΩ")</f>
        <v>0kΩ</v>
      </c>
      <c r="I418" s="57"/>
    </row>
    <row r="419" spans="1:9" x14ac:dyDescent="0.3">
      <c r="A419" s="585" t="str">
        <f>"RFBSET = "&amp;CHOOSE(VOUT_setting,"","24.9kΩ","0Ω","48.7kΩ")</f>
        <v>RFBSET = 0Ω</v>
      </c>
      <c r="D419" t="str">
        <f>CHOOSE(VOUT_setting,"","24.9kΩ","0Ω","48.7kΩ")</f>
        <v>0Ω</v>
      </c>
      <c r="I419" s="57"/>
    </row>
    <row r="420" spans="1:9" x14ac:dyDescent="0.3">
      <c r="A420" s="585"/>
      <c r="I420" s="57"/>
    </row>
    <row r="421" spans="1:9" x14ac:dyDescent="0.3">
      <c r="A421" s="585" t="s">
        <v>872</v>
      </c>
      <c r="B421" t="str">
        <f>IF((UVLO_TYPE=1),B188&amp;"kΩ","0Ω")</f>
        <v>200kΩ</v>
      </c>
      <c r="I421" s="57"/>
    </row>
    <row r="422" spans="1:9" x14ac:dyDescent="0.3">
      <c r="A422" s="585" t="s">
        <v>873</v>
      </c>
      <c r="B422" t="str">
        <f>IF((UVLO_TYPE=1),B189&amp;"kΩ","N/A")</f>
        <v>9.53kΩ</v>
      </c>
      <c r="I422" s="57"/>
    </row>
    <row r="423" spans="1:9" x14ac:dyDescent="0.3">
      <c r="A423" s="670"/>
      <c r="I423" s="57"/>
    </row>
    <row r="424" spans="1:9" x14ac:dyDescent="0.3">
      <c r="A424" s="56" t="str">
        <f>"Crossover frequency = "&amp;ROUND('Stability Calculations'!U4,0)&amp;"kHz"</f>
        <v>Crossover frequency = 38kHz</v>
      </c>
      <c r="B424" t="str">
        <f>ROUND('Stability Calculations'!U4,0)&amp;"kHz"</f>
        <v>38kHz</v>
      </c>
      <c r="D424" s="114">
        <f>'Stability Calculations'!U4</f>
        <v>38.462000000000003</v>
      </c>
      <c r="I424" s="57"/>
    </row>
    <row r="425" spans="1:9" x14ac:dyDescent="0.3">
      <c r="A425" s="56" t="str">
        <f>CHOOSE(BODE_PLOT_TYPE, "Phase margin = "&amp;ROUND('Stability Calculations'!U5,0)&amp;"°", "°")</f>
        <v>Phase margin = 50°</v>
      </c>
      <c r="B425" s="115" t="str">
        <f>ROUND('Stability Calculations'!U5,0)&amp;"°"</f>
        <v>50°</v>
      </c>
      <c r="C425" s="290"/>
      <c r="E425" s="210"/>
      <c r="I425" s="57"/>
    </row>
    <row r="426" spans="1:9" x14ac:dyDescent="0.3">
      <c r="A426" s="56" t="str">
        <f>IF(loopPM&lt;45,CHOOSE(COMP_TYPE,"Phase margin is LOW, increase Cout","Phase margin is LOW, recompensate"),"")</f>
        <v/>
      </c>
      <c r="B426" s="115"/>
      <c r="C426" s="290"/>
      <c r="E426" s="210"/>
      <c r="I426" s="57"/>
    </row>
    <row r="427" spans="1:9" x14ac:dyDescent="0.3">
      <c r="A427" s="670"/>
      <c r="B427" s="115"/>
      <c r="C427" s="290"/>
      <c r="E427" s="210"/>
      <c r="I427" s="57"/>
    </row>
    <row r="428" spans="1:9" x14ac:dyDescent="0.3">
      <c r="A428" s="66" t="s">
        <v>577</v>
      </c>
      <c r="B428" s="476" t="str">
        <f>IF(PLOT_TYPE=1, ROUND('Efficiency Calculations'!AZ109,1)&amp;"%", ROUND(#REF!,1)&amp;"%")</f>
        <v>88.8%</v>
      </c>
      <c r="C428" s="290"/>
      <c r="D428" s="476"/>
      <c r="E428" s="210"/>
      <c r="I428" s="57"/>
    </row>
    <row r="429" spans="1:9" x14ac:dyDescent="0.3">
      <c r="A429" s="66" t="s">
        <v>578</v>
      </c>
      <c r="B429" s="476" t="str">
        <f>IF(PLOT_TYPE=1, ROUND('Efficiency Calculations'!AZ59,1)&amp;"%", ROUND(#REF!,1)&amp;"%")</f>
        <v>84.2%</v>
      </c>
      <c r="C429" s="290"/>
      <c r="D429" s="476"/>
      <c r="E429" s="210"/>
      <c r="I429" s="57"/>
    </row>
    <row r="430" spans="1:9" x14ac:dyDescent="0.3">
      <c r="A430" s="631"/>
      <c r="B430" s="476" t="str">
        <f>IF(VOUT_setting=1, "", IF(OSC=1, "Tie OSC to VDDA", "Tie OSC to AGND"))</f>
        <v>Tie OSC to AGND</v>
      </c>
      <c r="C430" s="290"/>
      <c r="D430" s="476"/>
      <c r="E430" s="210"/>
      <c r="I430" s="57"/>
    </row>
    <row r="431" spans="1:9" x14ac:dyDescent="0.3">
      <c r="A431" s="56"/>
      <c r="B431" s="115"/>
      <c r="C431" s="290"/>
      <c r="E431" s="210"/>
      <c r="I431" s="57"/>
    </row>
    <row r="432" spans="1:9" x14ac:dyDescent="0.3">
      <c r="A432" s="56"/>
      <c r="I432" s="57"/>
    </row>
    <row r="433" spans="1:9" x14ac:dyDescent="0.3">
      <c r="A433" s="56" t="str">
        <f>"Rs = "&amp;Rs&amp;"Ω"</f>
        <v>Rs = 0.025Ω</v>
      </c>
      <c r="B433" t="str">
        <f>'Standard Value Calculator'!S6&amp;"Ω"</f>
        <v>Ω</v>
      </c>
      <c r="I433" s="57"/>
    </row>
    <row r="434" spans="1:9" x14ac:dyDescent="0.3">
      <c r="A434" s="56" t="s">
        <v>186</v>
      </c>
      <c r="B434" t="str">
        <f>'Standard Value Calculator'!S16&amp;"mΩ"</f>
        <v>75mΩ</v>
      </c>
      <c r="I434" s="57"/>
    </row>
    <row r="435" spans="1:9" x14ac:dyDescent="0.3">
      <c r="A435" s="56" t="s">
        <v>164</v>
      </c>
      <c r="B435" t="str">
        <f>'Standard Value Calculator'!S6&amp;"mΩ"</f>
        <v>mΩ</v>
      </c>
      <c r="I435" s="57"/>
    </row>
    <row r="436" spans="1:9" x14ac:dyDescent="0.3">
      <c r="A436" s="56" t="e">
        <f>"Rshunt = "&amp;ROUND(Rshunt,1)&amp;"mΩ"</f>
        <v>#NAME?</v>
      </c>
      <c r="B436" t="e">
        <f>IF(Rshunt="0", "N/A",ROUND(Rshunt,1)&amp;"mΩ")</f>
        <v>#NAME?</v>
      </c>
      <c r="I436" s="57"/>
    </row>
    <row r="437" spans="1:9" x14ac:dyDescent="0.3">
      <c r="A437" s="56"/>
      <c r="I437" s="57"/>
    </row>
    <row r="438" spans="1:9" x14ac:dyDescent="0.3">
      <c r="A438" s="209" t="s">
        <v>254</v>
      </c>
      <c r="B438" s="113" t="s">
        <v>255</v>
      </c>
      <c r="I438" s="57"/>
    </row>
    <row r="439" spans="1:9" ht="15.5" x14ac:dyDescent="0.4">
      <c r="A439" s="209" t="s">
        <v>888</v>
      </c>
      <c r="B439" s="113"/>
      <c r="I439" s="57"/>
    </row>
    <row r="440" spans="1:9" x14ac:dyDescent="0.3">
      <c r="A440" s="585"/>
      <c r="B440" s="113"/>
      <c r="I440" s="57"/>
    </row>
    <row r="441" spans="1:9" x14ac:dyDescent="0.3">
      <c r="A441" s="585" t="s">
        <v>891</v>
      </c>
      <c r="B441" s="113" t="str">
        <f>IF((Ext_VCC=1),"5V","GND")</f>
        <v>5V</v>
      </c>
      <c r="I441" s="57"/>
    </row>
    <row r="442" spans="1:9" x14ac:dyDescent="0.3">
      <c r="A442" s="209" t="s">
        <v>890</v>
      </c>
      <c r="B442" s="113" t="str">
        <f xml:space="preserve"> 'Design Regulator'!E57&amp;"kΩ"</f>
        <v>41.2kΩ</v>
      </c>
      <c r="I442" s="57"/>
    </row>
    <row r="443" spans="1:9" x14ac:dyDescent="0.3">
      <c r="A443" s="209" t="s">
        <v>272</v>
      </c>
      <c r="B443" t="str">
        <f xml:space="preserve"> Rfadj&amp;"kΩ"</f>
        <v>53.6kΩ</v>
      </c>
      <c r="C443" s="2">
        <f>Rfadj</f>
        <v>53.6</v>
      </c>
      <c r="D443">
        <f>Fsw</f>
        <v>405680</v>
      </c>
      <c r="F443" t="b">
        <f>OR((Fsw=440000),(Fsw=2200000))</f>
        <v>0</v>
      </c>
      <c r="H443" t="b">
        <f>OR(OR(AND(OSC=1, OR(Fsw/1000&gt;2530, Fsw/1000&lt;1800)), AND(OSC=2, OR(Fsw/1000&gt;500, Fsw/1000&lt;300))), OR((Fsw=440000),(Fsw=2200000)))</f>
        <v>0</v>
      </c>
      <c r="I443" s="57"/>
    </row>
    <row r="444" spans="1:9" ht="12.5" x14ac:dyDescent="0.25">
      <c r="A444" s="56" t="s">
        <v>150</v>
      </c>
      <c r="B444" s="630" t="str">
        <f>'Standard Value Calculator'!B4*1000000000&amp;"nF"</f>
        <v>0nF</v>
      </c>
      <c r="C444" s="113" t="str">
        <f>IF(MODE=1,"Css","")</f>
        <v>Css</v>
      </c>
      <c r="I444" s="57"/>
    </row>
    <row r="445" spans="1:9" ht="12.5" x14ac:dyDescent="0.25">
      <c r="A445" s="209" t="s">
        <v>630</v>
      </c>
      <c r="B445" t="str">
        <f>IF(Cres_u = 0, "N/A", Cres_u*1000000000 &amp;"nF")</f>
        <v>330nF</v>
      </c>
      <c r="C445" t="str">
        <f>IF(Cres_u = 0, "N/A", Cres_u*1000000 &amp;"µF")</f>
        <v>0.33µF</v>
      </c>
      <c r="D445">
        <f>Cres_u</f>
        <v>3.3000000000000002E-7</v>
      </c>
      <c r="I445" s="57"/>
    </row>
    <row r="446" spans="1:9" x14ac:dyDescent="0.3">
      <c r="A446" s="585"/>
      <c r="I446" s="57"/>
    </row>
    <row r="447" spans="1:9" x14ac:dyDescent="0.3">
      <c r="A447" s="56" t="s">
        <v>187</v>
      </c>
      <c r="B447" t="str">
        <f>IF(B76="y","","|")</f>
        <v>|</v>
      </c>
      <c r="I447" s="57"/>
    </row>
    <row r="448" spans="1:9" x14ac:dyDescent="0.3">
      <c r="A448" s="56" t="s">
        <v>204</v>
      </c>
      <c r="B448" t="str">
        <f>'Design Regulator'!$E$10&amp;"A"</f>
        <v>1.5A</v>
      </c>
      <c r="I448" s="57"/>
    </row>
    <row r="449" spans="1:9" x14ac:dyDescent="0.3">
      <c r="A449" s="56" t="s">
        <v>144</v>
      </c>
      <c r="B449" t="str">
        <f>VIN_nom&amp;"V"</f>
        <v>6.6V</v>
      </c>
      <c r="I449" s="57"/>
    </row>
    <row r="450" spans="1:9" x14ac:dyDescent="0.3">
      <c r="A450" s="209" t="s">
        <v>583</v>
      </c>
      <c r="B450" t="str">
        <f>VIN_min&amp;"V"&amp;"..."&amp;VIN_max&amp;"V"</f>
        <v>5V...7.4V</v>
      </c>
      <c r="I450" s="57"/>
    </row>
    <row r="451" spans="1:9" ht="12.5" x14ac:dyDescent="0.25">
      <c r="A451" s="56"/>
      <c r="B451" t="str">
        <f>IF(INFILTER_TYPE=1,B450,"")</f>
        <v>5V...7.4V</v>
      </c>
      <c r="C451" t="str">
        <f>IF(INFILTER_TYPE=1,"",B450)</f>
        <v/>
      </c>
      <c r="I451" s="57"/>
    </row>
    <row r="452" spans="1:9" ht="13.5" thickBot="1" x14ac:dyDescent="0.35">
      <c r="A452" s="60" t="str">
        <f>CHOOSE(Ext_VCC, "", "Tie VCCX to PGND")</f>
        <v/>
      </c>
      <c r="B452" s="61"/>
      <c r="C452" s="289"/>
      <c r="D452" s="61"/>
      <c r="E452" s="61"/>
      <c r="F452" s="61"/>
      <c r="G452" s="61"/>
      <c r="H452" s="61"/>
      <c r="I452" s="62"/>
    </row>
  </sheetData>
  <sheetProtection selectLockedCells="1"/>
  <mergeCells count="2">
    <mergeCell ref="E5:H5"/>
    <mergeCell ref="A1:I1"/>
  </mergeCells>
  <phoneticPr fontId="5" type="noConversion"/>
  <conditionalFormatting sqref="B393">
    <cfRule type="expression" dxfId="0" priority="1">
      <formula>OSC=1</formula>
    </cfRule>
  </conditionalFormatting>
  <pageMargins left="0.75" right="0.75" top="1" bottom="1" header="0.5" footer="0.5"/>
  <pageSetup orientation="portrait" r:id="rId1"/>
  <headerFooter alignWithMargins="0"/>
  <ignoredErrors>
    <ignoredError sqref="K132"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02465" r:id="rId4" name="Drop Down 1">
              <controlPr defaultSize="0" autoLine="0" autoPict="0">
                <anchor>
                  <from>
                    <xdr:col>9</xdr:col>
                    <xdr:colOff>368300</xdr:colOff>
                    <xdr:row>18</xdr:row>
                    <xdr:rowOff>63500</xdr:rowOff>
                  </from>
                  <to>
                    <xdr:col>11</xdr:col>
                    <xdr:colOff>0</xdr:colOff>
                    <xdr:row>19</xdr:row>
                    <xdr:rowOff>139700</xdr:rowOff>
                  </to>
                </anchor>
              </controlPr>
            </control>
          </mc:Choice>
        </mc:AlternateContent>
        <mc:AlternateContent xmlns:mc="http://schemas.openxmlformats.org/markup-compatibility/2006">
          <mc:Choice Requires="x14">
            <control shapeId="702468" r:id="rId5" name="Drop Down 4">
              <controlPr defaultSize="0" autoLine="0" autoPict="0">
                <anchor moveWithCells="1">
                  <from>
                    <xdr:col>17</xdr:col>
                    <xdr:colOff>368300</xdr:colOff>
                    <xdr:row>15</xdr:row>
                    <xdr:rowOff>139700</xdr:rowOff>
                  </from>
                  <to>
                    <xdr:col>20</xdr:col>
                    <xdr:colOff>31750</xdr:colOff>
                    <xdr:row>17</xdr:row>
                    <xdr:rowOff>0</xdr:rowOff>
                  </to>
                </anchor>
              </controlPr>
            </control>
          </mc:Choice>
        </mc:AlternateContent>
        <mc:AlternateContent xmlns:mc="http://schemas.openxmlformats.org/markup-compatibility/2006">
          <mc:Choice Requires="x14">
            <control shapeId="702470" r:id="rId6" name="Drop Down 6">
              <controlPr defaultSize="0" autoLine="0" autoPict="0">
                <anchor moveWithCells="1">
                  <from>
                    <xdr:col>22</xdr:col>
                    <xdr:colOff>412750</xdr:colOff>
                    <xdr:row>31</xdr:row>
                    <xdr:rowOff>38100</xdr:rowOff>
                  </from>
                  <to>
                    <xdr:col>25</xdr:col>
                    <xdr:colOff>69850</xdr:colOff>
                    <xdr:row>32</xdr:row>
                    <xdr:rowOff>177800</xdr:rowOff>
                  </to>
                </anchor>
              </controlPr>
            </control>
          </mc:Choice>
        </mc:AlternateContent>
        <mc:AlternateContent xmlns:mc="http://schemas.openxmlformats.org/markup-compatibility/2006">
          <mc:Choice Requires="x14">
            <control shapeId="702471" r:id="rId7" name="Drop Down 7">
              <controlPr defaultSize="0" autoLine="0" autoPict="0">
                <anchor moveWithCells="1">
                  <from>
                    <xdr:col>9</xdr:col>
                    <xdr:colOff>228600</xdr:colOff>
                    <xdr:row>51</xdr:row>
                    <xdr:rowOff>38100</xdr:rowOff>
                  </from>
                  <to>
                    <xdr:col>10</xdr:col>
                    <xdr:colOff>527050</xdr:colOff>
                    <xdr:row>52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N29"/>
  <sheetViews>
    <sheetView topLeftCell="A4" zoomScale="70" zoomScaleNormal="70" workbookViewId="0">
      <selection activeCell="G5" sqref="G5"/>
    </sheetView>
  </sheetViews>
  <sheetFormatPr defaultRowHeight="12.5" x14ac:dyDescent="0.25"/>
  <cols>
    <col min="1" max="1" width="10.54296875" customWidth="1"/>
    <col min="2" max="2" width="102.08984375" customWidth="1"/>
  </cols>
  <sheetData>
    <row r="1" spans="1:14" x14ac:dyDescent="0.25">
      <c r="J1" s="113"/>
      <c r="N1" s="113" t="s">
        <v>592</v>
      </c>
    </row>
    <row r="2" spans="1:14" x14ac:dyDescent="0.25">
      <c r="A2" t="str">
        <f>IF(MODE=1, CHOOSE(SCH_SETTING, "SCH_SetVout_IntComp_nAEF","SCH_SetVout_IntComp_AEF","SCH_SetVout_ExtComp_nAEF","SCH_SetVout_ExtComp_AEF","SCH_AdjVout_IntComp_nAEF","SCH_AdjVout_IntComp_AEF","SCH_AdjVout_ExtComp_nAEF","SCH_AdjVout_ExtComp_AEF"))</f>
        <v>SCH_SetVout_ExtComp_nAEF</v>
      </c>
      <c r="J2" s="113"/>
      <c r="N2" s="113" t="s">
        <v>682</v>
      </c>
    </row>
    <row r="3" spans="1:14" x14ac:dyDescent="0.25">
      <c r="J3" s="113"/>
    </row>
    <row r="4" spans="1:14" ht="19.5" customHeight="1" x14ac:dyDescent="0.25">
      <c r="J4" s="113"/>
    </row>
    <row r="5" spans="1:14" ht="311.14999999999998" customHeight="1" x14ac:dyDescent="0.25">
      <c r="B5" s="521"/>
    </row>
    <row r="6" spans="1:14" ht="12" customHeight="1" x14ac:dyDescent="0.25">
      <c r="B6" s="521"/>
    </row>
    <row r="7" spans="1:14" ht="34.5" customHeight="1" x14ac:dyDescent="0.25"/>
    <row r="8" spans="1:14" ht="311.14999999999998" customHeight="1" x14ac:dyDescent="0.25">
      <c r="B8" s="521"/>
    </row>
    <row r="9" spans="1:14" x14ac:dyDescent="0.25">
      <c r="B9" s="521"/>
    </row>
    <row r="10" spans="1:14" ht="312" customHeight="1" x14ac:dyDescent="0.25">
      <c r="B10" s="521"/>
    </row>
    <row r="12" spans="1:14" ht="311.75" customHeight="1" x14ac:dyDescent="0.25">
      <c r="B12" s="521"/>
    </row>
    <row r="14" spans="1:14" ht="309.75" customHeight="1" x14ac:dyDescent="0.25">
      <c r="B14" s="521"/>
    </row>
    <row r="16" spans="1:14" ht="15" customHeight="1" x14ac:dyDescent="0.25"/>
    <row r="17" spans="2:2" ht="311.75" customHeight="1" x14ac:dyDescent="0.25">
      <c r="B17" s="521" t="s">
        <v>175</v>
      </c>
    </row>
    <row r="18" spans="2:2" ht="9.75" customHeight="1" x14ac:dyDescent="0.25"/>
    <row r="19" spans="2:2" ht="312" customHeight="1" x14ac:dyDescent="0.25">
      <c r="B19" s="521"/>
    </row>
    <row r="20" spans="2:2" ht="16.25" customHeight="1" x14ac:dyDescent="0.25"/>
    <row r="21" spans="2:2" ht="312" customHeight="1" x14ac:dyDescent="0.25">
      <c r="B21" s="521"/>
    </row>
    <row r="23" spans="2:2" ht="409.5" customHeight="1" x14ac:dyDescent="0.25">
      <c r="B23" s="521"/>
    </row>
    <row r="25" spans="2:2" ht="408.75" customHeight="1" x14ac:dyDescent="0.25">
      <c r="B25" s="521"/>
    </row>
    <row r="27" spans="2:2" ht="409.5" customHeight="1" x14ac:dyDescent="0.25">
      <c r="B27" s="521"/>
    </row>
    <row r="29" spans="2:2" ht="409.5" customHeight="1" x14ac:dyDescent="0.25">
      <c r="B29" s="521"/>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I687"/>
  <sheetViews>
    <sheetView topLeftCell="M1" zoomScaleNormal="100" workbookViewId="0">
      <pane ySplit="11" topLeftCell="A12" activePane="bottomLeft" state="frozen"/>
      <selection activeCell="A93" sqref="A93"/>
      <selection pane="bottomLeft" activeCell="AI9" sqref="AI9"/>
    </sheetView>
  </sheetViews>
  <sheetFormatPr defaultColWidth="9.08984375" defaultRowHeight="12.5" x14ac:dyDescent="0.25"/>
  <cols>
    <col min="1" max="1" width="16.08984375" style="307" customWidth="1"/>
    <col min="2" max="2" width="15.6328125" style="307" customWidth="1"/>
    <col min="3" max="3" width="10" style="307" customWidth="1"/>
    <col min="4" max="4" width="10.6328125" style="307" customWidth="1"/>
    <col min="5" max="5" width="10.08984375" style="307" customWidth="1"/>
    <col min="6" max="8" width="11.6328125" style="307" customWidth="1"/>
    <col min="9" max="9" width="14.36328125" style="307" customWidth="1"/>
    <col min="10" max="10" width="11" style="307" customWidth="1"/>
    <col min="11" max="11" width="12" style="307" customWidth="1"/>
    <col min="12" max="12" width="11.453125" style="307" customWidth="1"/>
    <col min="13" max="13" width="10.6328125" style="307" customWidth="1"/>
    <col min="14" max="18" width="11.453125" style="307" customWidth="1"/>
    <col min="19" max="19" width="12.36328125" style="307" customWidth="1"/>
    <col min="20" max="20" width="12.08984375" style="307" customWidth="1"/>
    <col min="21" max="21" width="9.453125" style="307" customWidth="1"/>
    <col min="22" max="22" width="16.08984375" style="307" bestFit="1" customWidth="1"/>
    <col min="23" max="23" width="16.08984375" style="347" customWidth="1"/>
    <col min="24" max="24" width="9.08984375" style="307"/>
    <col min="25" max="25" width="13.453125" style="307" bestFit="1" customWidth="1"/>
    <col min="26" max="26" width="9.36328125" style="307" bestFit="1" customWidth="1"/>
    <col min="27" max="27" width="9.08984375" style="307"/>
    <col min="28" max="28" width="13.54296875" style="307" customWidth="1"/>
    <col min="29" max="29" width="10.54296875" style="307" customWidth="1"/>
    <col min="30" max="30" width="9.08984375" style="307"/>
    <col min="31" max="31" width="9.36328125" style="307" bestFit="1" customWidth="1"/>
    <col min="32" max="32" width="11.36328125" style="307" bestFit="1" customWidth="1"/>
    <col min="33" max="33" width="9.08984375" style="307"/>
    <col min="34" max="34" width="12.36328125" customWidth="1"/>
    <col min="35" max="35" width="8.6328125" customWidth="1"/>
    <col min="36" max="16384" width="9.08984375" style="307"/>
  </cols>
  <sheetData>
    <row r="1" spans="1:35" ht="13" thickBot="1" x14ac:dyDescent="0.3"/>
    <row r="2" spans="1:35" ht="13" x14ac:dyDescent="0.3">
      <c r="A2" s="853" t="s">
        <v>409</v>
      </c>
      <c r="B2" s="854"/>
      <c r="C2" s="855"/>
      <c r="D2" s="856"/>
      <c r="E2" s="853" t="s">
        <v>315</v>
      </c>
      <c r="F2" s="854"/>
      <c r="G2" s="854"/>
      <c r="H2" s="388"/>
      <c r="I2" s="404"/>
      <c r="J2" s="853" t="s">
        <v>407</v>
      </c>
      <c r="K2" s="855"/>
      <c r="L2" s="856"/>
      <c r="M2" s="853" t="s">
        <v>408</v>
      </c>
      <c r="N2" s="854"/>
      <c r="O2" s="854"/>
      <c r="P2" s="870" t="s">
        <v>835</v>
      </c>
      <c r="Q2" s="854"/>
      <c r="R2" s="854"/>
      <c r="S2" s="862"/>
      <c r="T2" s="853" t="s">
        <v>316</v>
      </c>
      <c r="U2" s="854"/>
      <c r="V2" s="862"/>
      <c r="W2" s="689"/>
      <c r="AH2" s="113"/>
      <c r="AI2" s="113"/>
    </row>
    <row r="3" spans="1:35" x14ac:dyDescent="0.25">
      <c r="B3" s="308" t="s">
        <v>317</v>
      </c>
      <c r="C3" s="391">
        <f>Afb</f>
        <v>0.230247630653551</v>
      </c>
      <c r="D3" s="310" t="s">
        <v>28</v>
      </c>
      <c r="E3" s="311" t="s">
        <v>318</v>
      </c>
      <c r="F3" s="309">
        <f>Acs</f>
        <v>4</v>
      </c>
      <c r="G3" s="310" t="s">
        <v>406</v>
      </c>
      <c r="H3" s="402" t="s">
        <v>334</v>
      </c>
      <c r="I3" s="414">
        <f>gm</f>
        <v>1.1999999999999999E-3</v>
      </c>
      <c r="J3" s="311" t="s">
        <v>425</v>
      </c>
      <c r="K3" s="312">
        <f>Fesr</f>
        <v>397887.35818439093</v>
      </c>
      <c r="L3" s="310" t="s">
        <v>9</v>
      </c>
      <c r="M3" s="311" t="s">
        <v>320</v>
      </c>
      <c r="N3" s="312">
        <f>Fsw/2</f>
        <v>202840</v>
      </c>
      <c r="O3" s="310" t="s">
        <v>9</v>
      </c>
      <c r="P3" s="680" t="s">
        <v>844</v>
      </c>
      <c r="Q3" s="681">
        <f>((1/wffHz)+(1/wfftHz))</f>
        <v>5.8109410928520001E-6</v>
      </c>
      <c r="S3" s="680"/>
      <c r="T3" s="313" t="s">
        <v>321</v>
      </c>
      <c r="U3" s="312">
        <f>IF(VOUT_setting=1,Am*Afb*AEA,Am*AEA)</f>
        <v>520695.90359812503</v>
      </c>
      <c r="V3" s="310" t="s">
        <v>28</v>
      </c>
    </row>
    <row r="4" spans="1:35" x14ac:dyDescent="0.25">
      <c r="B4" s="308" t="s">
        <v>430</v>
      </c>
      <c r="C4" s="312">
        <f>Fz1_u</f>
        <v>4284.5782392116616</v>
      </c>
      <c r="D4" s="310" t="s">
        <v>9</v>
      </c>
      <c r="E4" s="311" t="s">
        <v>323</v>
      </c>
      <c r="F4" s="317">
        <f>Am</f>
        <v>6.7798945781005866</v>
      </c>
      <c r="G4" s="310" t="s">
        <v>28</v>
      </c>
      <c r="H4" s="403"/>
      <c r="I4" s="403"/>
      <c r="J4" s="311" t="s">
        <v>424</v>
      </c>
      <c r="K4" s="312">
        <f>Fp_dominant</f>
        <v>469.49090856909527</v>
      </c>
      <c r="L4" s="310" t="s">
        <v>9</v>
      </c>
      <c r="M4" s="311" t="s">
        <v>325</v>
      </c>
      <c r="N4" s="389">
        <f>Q*pole3</f>
        <v>172815.54566557464</v>
      </c>
      <c r="O4" s="681"/>
      <c r="P4" s="681" t="s">
        <v>845</v>
      </c>
      <c r="Q4" s="681">
        <f>((1/wfbtHz)+(1/wffHz)+(1/wfftHz)+(Afbr/wffHz))</f>
        <v>4.051403656893155E-5</v>
      </c>
      <c r="R4" s="681"/>
      <c r="T4" s="313" t="s">
        <v>326</v>
      </c>
      <c r="U4" s="353">
        <f>AI7</f>
        <v>38.462000000000003</v>
      </c>
      <c r="V4" s="310" t="s">
        <v>2</v>
      </c>
    </row>
    <row r="5" spans="1:35" x14ac:dyDescent="0.25">
      <c r="B5" s="308" t="s">
        <v>429</v>
      </c>
      <c r="C5" s="317">
        <f>Fp1_u</f>
        <v>3.0305329858129837</v>
      </c>
      <c r="D5" s="310" t="s">
        <v>9</v>
      </c>
      <c r="E5" s="311" t="s">
        <v>27</v>
      </c>
      <c r="F5" s="391">
        <f>Q</f>
        <v>0.85197961775574171</v>
      </c>
      <c r="G5" s="310"/>
      <c r="H5" s="403"/>
      <c r="I5" s="403"/>
      <c r="J5" s="311"/>
      <c r="K5" s="312"/>
      <c r="L5" s="310"/>
      <c r="M5" s="311" t="s">
        <v>328</v>
      </c>
      <c r="N5" s="309">
        <f>pole3^2</f>
        <v>41144065600</v>
      </c>
      <c r="O5" s="402"/>
      <c r="P5" s="402" t="s">
        <v>846</v>
      </c>
      <c r="Q5" s="402">
        <f>1/(wffHz*wfbtHz)</f>
        <v>1.5937437150456741E-12</v>
      </c>
      <c r="R5" s="402"/>
      <c r="S5" s="310"/>
      <c r="T5" s="313" t="s">
        <v>329</v>
      </c>
      <c r="U5" s="317">
        <f>AI9</f>
        <v>49.694913810940477</v>
      </c>
      <c r="V5" s="375" t="s">
        <v>386</v>
      </c>
    </row>
    <row r="6" spans="1:35" x14ac:dyDescent="0.25">
      <c r="B6" s="308" t="s">
        <v>330</v>
      </c>
      <c r="C6" s="309">
        <f>AEA</f>
        <v>76800</v>
      </c>
      <c r="D6" s="310" t="s">
        <v>28</v>
      </c>
      <c r="E6" s="311" t="s">
        <v>358</v>
      </c>
      <c r="F6" s="391">
        <f>mc</f>
        <v>1.7599515151515153</v>
      </c>
      <c r="G6" s="402"/>
      <c r="H6" s="405"/>
      <c r="I6" s="316"/>
      <c r="J6" s="314"/>
      <c r="K6" s="315"/>
      <c r="L6" s="316"/>
      <c r="M6" s="314"/>
      <c r="N6" s="417"/>
      <c r="O6" s="682"/>
      <c r="P6" s="682" t="s">
        <v>847</v>
      </c>
      <c r="Q6" s="688">
        <f>Rfb1_/Rfb2_u</f>
        <v>3.1565656565656566</v>
      </c>
      <c r="R6" s="682"/>
      <c r="S6" s="316"/>
      <c r="T6" s="387" t="s">
        <v>331</v>
      </c>
      <c r="U6" s="315">
        <f>180/Pi</f>
        <v>57.295779578552292</v>
      </c>
      <c r="V6" s="316"/>
      <c r="AH6" s="5" t="s">
        <v>46</v>
      </c>
      <c r="AI6" s="5"/>
    </row>
    <row r="7" spans="1:35" ht="13" thickBot="1" x14ac:dyDescent="0.3">
      <c r="B7" s="383" t="s">
        <v>428</v>
      </c>
      <c r="C7" s="390">
        <f>Fp2_u</f>
        <v>110375.27593818985</v>
      </c>
      <c r="D7" s="385" t="s">
        <v>9</v>
      </c>
      <c r="E7" s="384" t="s">
        <v>333</v>
      </c>
      <c r="F7" s="386">
        <f>k</f>
        <v>0.87361209108029458</v>
      </c>
      <c r="G7" s="386"/>
      <c r="H7" s="406"/>
      <c r="I7" s="385"/>
      <c r="J7" s="384"/>
      <c r="K7" s="384"/>
      <c r="L7" s="385"/>
      <c r="M7" s="384"/>
      <c r="N7" s="384"/>
      <c r="O7" s="384"/>
      <c r="P7" s="384"/>
      <c r="Q7" s="384"/>
      <c r="R7" s="384"/>
      <c r="S7" s="385"/>
      <c r="T7" s="384"/>
      <c r="U7" s="384"/>
      <c r="V7" s="385"/>
      <c r="AH7" t="s">
        <v>43</v>
      </c>
      <c r="AI7">
        <f>SUM(AH12:AH613)/1000</f>
        <v>38.462000000000003</v>
      </c>
    </row>
    <row r="8" spans="1:35" x14ac:dyDescent="0.25">
      <c r="B8" s="392"/>
      <c r="C8" s="393"/>
      <c r="F8" s="394"/>
      <c r="G8" s="394"/>
      <c r="H8" s="394"/>
    </row>
    <row r="9" spans="1:35" ht="13" thickBot="1" x14ac:dyDescent="0.3">
      <c r="AH9" t="s">
        <v>44</v>
      </c>
      <c r="AI9" s="4">
        <f>SUM(AI13:AI613)</f>
        <v>49.694913810940477</v>
      </c>
    </row>
    <row r="10" spans="1:35" ht="14" x14ac:dyDescent="0.3">
      <c r="A10" s="857" t="s">
        <v>437</v>
      </c>
      <c r="B10" s="851"/>
      <c r="C10" s="865" t="s">
        <v>335</v>
      </c>
      <c r="D10" s="866"/>
      <c r="E10" s="866"/>
      <c r="F10" s="866"/>
      <c r="G10" s="866"/>
      <c r="H10" s="867"/>
      <c r="I10" s="865" t="s">
        <v>336</v>
      </c>
      <c r="J10" s="866"/>
      <c r="K10" s="866"/>
      <c r="L10" s="866"/>
      <c r="M10" s="866"/>
      <c r="N10" s="867"/>
      <c r="O10" s="865" t="s">
        <v>833</v>
      </c>
      <c r="P10" s="866"/>
      <c r="Q10" s="866"/>
      <c r="R10" s="866"/>
      <c r="S10" s="860" t="s">
        <v>337</v>
      </c>
      <c r="T10" s="861"/>
      <c r="U10" s="860" t="s">
        <v>338</v>
      </c>
      <c r="V10" s="868"/>
      <c r="W10" s="869"/>
      <c r="AB10" s="871" t="s">
        <v>339</v>
      </c>
      <c r="AC10" s="872"/>
      <c r="AE10" s="871" t="s">
        <v>340</v>
      </c>
      <c r="AF10" s="872"/>
    </row>
    <row r="11" spans="1:35" ht="13" x14ac:dyDescent="0.3">
      <c r="A11" s="858"/>
      <c r="B11" s="852"/>
      <c r="C11" s="873" t="s">
        <v>424</v>
      </c>
      <c r="D11" s="874"/>
      <c r="E11" s="874" t="s">
        <v>425</v>
      </c>
      <c r="F11" s="875"/>
      <c r="G11" s="863" t="s">
        <v>426</v>
      </c>
      <c r="H11" s="864"/>
      <c r="I11" s="873" t="s">
        <v>324</v>
      </c>
      <c r="J11" s="874"/>
      <c r="K11" s="874" t="s">
        <v>319</v>
      </c>
      <c r="L11" s="875"/>
      <c r="M11" s="863" t="s">
        <v>327</v>
      </c>
      <c r="N11" s="864"/>
      <c r="O11" s="873" t="s">
        <v>319</v>
      </c>
      <c r="P11" s="874"/>
      <c r="Q11" s="874" t="s">
        <v>834</v>
      </c>
      <c r="R11" s="875"/>
      <c r="S11" s="873" t="s">
        <v>320</v>
      </c>
      <c r="T11" s="875"/>
      <c r="U11" s="311"/>
      <c r="V11" s="309"/>
      <c r="W11" s="354"/>
      <c r="AB11" s="311"/>
      <c r="AC11" s="310"/>
      <c r="AE11" s="311"/>
      <c r="AF11" s="310"/>
    </row>
    <row r="12" spans="1:35" ht="13.5" thickBot="1" x14ac:dyDescent="0.35">
      <c r="A12" s="859"/>
      <c r="B12" s="351"/>
      <c r="C12" s="318" t="s">
        <v>341</v>
      </c>
      <c r="D12" s="319" t="s">
        <v>342</v>
      </c>
      <c r="E12" s="319" t="s">
        <v>341</v>
      </c>
      <c r="F12" s="320" t="s">
        <v>342</v>
      </c>
      <c r="G12" s="319" t="s">
        <v>341</v>
      </c>
      <c r="H12" s="320" t="s">
        <v>342</v>
      </c>
      <c r="I12" s="318" t="s">
        <v>341</v>
      </c>
      <c r="J12" s="319" t="s">
        <v>342</v>
      </c>
      <c r="K12" s="319" t="s">
        <v>341</v>
      </c>
      <c r="L12" s="320" t="s">
        <v>342</v>
      </c>
      <c r="M12" s="318" t="s">
        <v>341</v>
      </c>
      <c r="N12" s="319" t="s">
        <v>342</v>
      </c>
      <c r="O12" s="318" t="s">
        <v>341</v>
      </c>
      <c r="P12" s="319" t="s">
        <v>342</v>
      </c>
      <c r="Q12" s="319" t="s">
        <v>341</v>
      </c>
      <c r="R12" s="320" t="s">
        <v>342</v>
      </c>
      <c r="S12" s="318" t="s">
        <v>341</v>
      </c>
      <c r="T12" s="320" t="s">
        <v>342</v>
      </c>
      <c r="U12" s="318" t="s">
        <v>343</v>
      </c>
      <c r="V12" s="319" t="s">
        <v>345</v>
      </c>
      <c r="W12" s="355" t="s">
        <v>344</v>
      </c>
      <c r="Z12" s="321" t="s">
        <v>346</v>
      </c>
      <c r="AB12" s="322" t="s">
        <v>347</v>
      </c>
      <c r="AC12" s="323" t="s">
        <v>348</v>
      </c>
      <c r="AE12" s="322" t="s">
        <v>347</v>
      </c>
      <c r="AF12" s="323" t="s">
        <v>348</v>
      </c>
    </row>
    <row r="13" spans="1:35" x14ac:dyDescent="0.25">
      <c r="A13" s="324">
        <v>1</v>
      </c>
      <c r="B13" s="352">
        <f>A13/1000</f>
        <v>1E-3</v>
      </c>
      <c r="C13" s="325">
        <f t="shared" ref="C13:C76" si="0">SQRT(1+(A13/pole1)^2)</f>
        <v>1.0000022683764933</v>
      </c>
      <c r="D13" s="326">
        <f t="shared" ref="D13:D76" si="1">ATAN(A13/pole1)</f>
        <v>2.1299634763944216E-3</v>
      </c>
      <c r="E13" s="326">
        <f t="shared" ref="E13:E76" si="2">SQRT(1+(A13/Zero1)^2)</f>
        <v>1.0000000000031584</v>
      </c>
      <c r="F13" s="327">
        <f t="shared" ref="F13:F76" si="3">ATAN(A13/Zero1)</f>
        <v>2.5132741199947084E-6</v>
      </c>
      <c r="G13" s="326">
        <f t="shared" ref="G13:G76" si="4">IF(VIN_nom&gt;Vout, 1, SQRT(1+(A13/z_RHP)^2))</f>
        <v>1</v>
      </c>
      <c r="H13" s="327">
        <f t="shared" ref="H13:H76" si="5">IF(VIN_nom&gt;Vout, 0, -ATAN(A13/z_RHP))</f>
        <v>0</v>
      </c>
      <c r="I13" s="325">
        <f t="shared" ref="I13:I76" si="6">SQRT(1+(A13/Pole2)^2)</f>
        <v>1.0530353622071842</v>
      </c>
      <c r="J13" s="328">
        <f t="shared" ref="J13:J76" si="7">ATAN(A13/Pole2)</f>
        <v>0.31872497908649533</v>
      </c>
      <c r="K13" s="326">
        <f t="shared" ref="K13:K76" si="8">SQRT(1+(A13/Zero2)^2)</f>
        <v>1.0000000272366596</v>
      </c>
      <c r="L13" s="327">
        <f t="shared" ref="L13:L76" si="9">ATAN(A13/Zero2)</f>
        <v>2.3339519691586299E-4</v>
      </c>
      <c r="M13" s="325">
        <f t="shared" ref="M13:M76" si="10">SQRT(1+(A13/pole4)^2)</f>
        <v>1.0000000000410418</v>
      </c>
      <c r="N13" s="690">
        <f t="shared" ref="N13:N76" si="11">ATAN(A13/pole4)</f>
        <v>9.059999999752107E-6</v>
      </c>
      <c r="O13" s="683">
        <f t="shared" ref="O13:O76" si="12">IF(VOUT_setting=1,1,SQRT(1+(A13*zterm1)^2))</f>
        <v>1.0000000000168834</v>
      </c>
      <c r="P13" s="684">
        <f t="shared" ref="P13:P76" si="13">IF(VOUT_setting=1,0,ATAN(((A13*zterm1))))</f>
        <v>5.8109410927865939E-6</v>
      </c>
      <c r="Q13" s="683">
        <f>IF(VOUT_setting=1,1,SQRT((1+Afbr-pterm4*(A13)^2)^2+(A13*$Q$4)^2))</f>
        <v>4.1565656567615079</v>
      </c>
      <c r="R13" s="690">
        <f t="shared" ref="R13:R76" si="14">IF(VOUT_setting=1,0,ATAN(A13*$Q$4/(1+Afbr-$Q$5*(A13)^2)))</f>
        <v>9.7469978619653573E-6</v>
      </c>
      <c r="S13" s="329">
        <f t="shared" ref="S13:S76" si="15">SQRT((1-(Z13/pterm2))^2+(A13/pterm1)^2)</f>
        <v>0.99999999999243694</v>
      </c>
      <c r="T13" s="330">
        <f t="shared" ref="T13:T76" si="16">IF((ATAN((A13/pterm1)/(1-A13^2/pterm2))&gt;0),ATAN((A13/pterm1)/(1-A13^2/pterm2)),PI()+ATAN((A13/pterm1)/(1-A13^2/pterm2)))</f>
        <v>5.7865164627509932E-6</v>
      </c>
      <c r="U13" s="331">
        <f t="shared" ref="U13:U76" si="17">20*LOG10(((E13*K13*G13*O13)/(C13*I13*S13*M13*Q13))*Adc)</f>
        <v>101.50811174328545</v>
      </c>
      <c r="V13" s="332">
        <f t="shared" ref="V13:V76" si="18">((F13+L13+H13+P13)-(D13+J13+T13+N13+R13))*radconv</f>
        <v>-18.371193668191005</v>
      </c>
      <c r="W13" s="563">
        <f t="shared" ref="W13:W76" si="19">IF(V13&gt;0,V13,V13+180)</f>
        <v>161.62880633180899</v>
      </c>
      <c r="Y13" s="307">
        <f t="shared" ref="Y13:Y76" si="20">IF(U13&lt;0,A13,1000000000)</f>
        <v>1000000000</v>
      </c>
      <c r="Z13" s="307">
        <f t="shared" ref="Z13:Z76" si="21">A13^2</f>
        <v>1</v>
      </c>
      <c r="AB13" s="333">
        <f t="shared" ref="AB13:AB76" si="22">20*LOG10((K13/(I13*M13))*AEA)</f>
        <v>97.258365525511266</v>
      </c>
      <c r="AC13" s="334">
        <f t="shared" ref="AC13:AC76" si="23">(L13-(J13+N13))*radconv</f>
        <v>-18.24874268792431</v>
      </c>
      <c r="AE13" s="333">
        <f t="shared" ref="AE13:AE76" si="24">20*LOG10((E13*G13/(C13*S13))*Acs*Am)</f>
        <v>28.665638943610826</v>
      </c>
      <c r="AF13" s="334">
        <f t="shared" ref="AF13:AF76" si="25">(F13+H13-(D13+T13))*radconv</f>
        <v>-0.12222546082563951</v>
      </c>
      <c r="AH13">
        <f t="shared" ref="AH13:AH76" si="26">SUM((U14&lt;0)*(U13&gt;0))*A13</f>
        <v>0</v>
      </c>
      <c r="AI13">
        <f t="shared" ref="AI13:AI44" si="27">IF(AH13&gt;0,W11,0)</f>
        <v>0</v>
      </c>
    </row>
    <row r="14" spans="1:35" x14ac:dyDescent="0.25">
      <c r="A14" s="335">
        <v>1.0965</v>
      </c>
      <c r="B14" s="352">
        <f t="shared" ref="B14:B77" si="28">A14/1000</f>
        <v>1.0965E-3</v>
      </c>
      <c r="C14" s="325">
        <f t="shared" si="0"/>
        <v>1.0000027272962198</v>
      </c>
      <c r="D14" s="326">
        <f t="shared" si="1"/>
        <v>2.3355042373283722E-3</v>
      </c>
      <c r="E14" s="326">
        <f t="shared" si="2"/>
        <v>1.0000000000037972</v>
      </c>
      <c r="F14" s="327">
        <f t="shared" si="3"/>
        <v>2.7558050725730243E-6</v>
      </c>
      <c r="G14" s="326">
        <f t="shared" si="4"/>
        <v>1</v>
      </c>
      <c r="H14" s="327">
        <f t="shared" si="5"/>
        <v>0</v>
      </c>
      <c r="I14" s="325">
        <f t="shared" si="6"/>
        <v>1.063443432761457</v>
      </c>
      <c r="J14" s="328">
        <f t="shared" si="7"/>
        <v>0.3471636627352418</v>
      </c>
      <c r="K14" s="336">
        <f t="shared" si="8"/>
        <v>1.0000000327469694</v>
      </c>
      <c r="L14" s="337">
        <f t="shared" si="9"/>
        <v>2.5591783247811946E-4</v>
      </c>
      <c r="M14" s="325">
        <f t="shared" si="10"/>
        <v>1.000000000049345</v>
      </c>
      <c r="N14" s="337">
        <f t="shared" si="11"/>
        <v>9.9342899996731944E-6</v>
      </c>
      <c r="O14" s="343">
        <f t="shared" si="12"/>
        <v>1.0000000000202993</v>
      </c>
      <c r="P14" s="691">
        <f t="shared" si="13"/>
        <v>6.3716969082259915E-6</v>
      </c>
      <c r="Q14" s="336">
        <f>IF(VOUT_setting=1,1,SQRT((1+Afbr-pterm4*(A14)^2)^2+(A14*$Q$4)^2))</f>
        <v>4.1565656568011313</v>
      </c>
      <c r="R14" s="692">
        <f t="shared" si="14"/>
        <v>1.068758315557737E-5</v>
      </c>
      <c r="S14" s="329">
        <f t="shared" si="15"/>
        <v>0.99999999999090705</v>
      </c>
      <c r="T14" s="330">
        <f t="shared" si="16"/>
        <v>6.3449153014233347E-6</v>
      </c>
      <c r="U14" s="331">
        <f t="shared" si="17"/>
        <v>101.42267904357782</v>
      </c>
      <c r="V14" s="332">
        <f t="shared" si="18"/>
        <v>-20.011186337853896</v>
      </c>
      <c r="W14" s="334">
        <f t="shared" si="19"/>
        <v>159.9888136621461</v>
      </c>
      <c r="Y14" s="307">
        <f t="shared" si="20"/>
        <v>1000000000</v>
      </c>
      <c r="Z14" s="307">
        <f t="shared" si="21"/>
        <v>1.2023122500000001</v>
      </c>
      <c r="AB14" s="333">
        <f t="shared" si="22"/>
        <v>97.172936811954074</v>
      </c>
      <c r="AC14" s="334">
        <f t="shared" si="23"/>
        <v>-19.876918878931484</v>
      </c>
      <c r="AE14" s="333">
        <f t="shared" si="24"/>
        <v>28.665634957513522</v>
      </c>
      <c r="AF14" s="334">
        <f t="shared" si="25"/>
        <v>-0.13402017685529663</v>
      </c>
      <c r="AH14">
        <f t="shared" si="26"/>
        <v>0</v>
      </c>
      <c r="AI14">
        <f t="shared" si="27"/>
        <v>0</v>
      </c>
    </row>
    <row r="15" spans="1:35" x14ac:dyDescent="0.25">
      <c r="A15" s="335">
        <v>1.2022999999999999</v>
      </c>
      <c r="B15" s="352">
        <f t="shared" si="28"/>
        <v>1.2022999999999999E-3</v>
      </c>
      <c r="C15" s="325">
        <f t="shared" si="0"/>
        <v>1.0000032789939315</v>
      </c>
      <c r="D15" s="326">
        <f t="shared" si="1"/>
        <v>2.5608533623098983E-3</v>
      </c>
      <c r="E15" s="326">
        <f t="shared" si="2"/>
        <v>1.0000000000045652</v>
      </c>
      <c r="F15" s="327">
        <f t="shared" si="3"/>
        <v>3.0217094744668033E-6</v>
      </c>
      <c r="G15" s="326">
        <f t="shared" si="4"/>
        <v>1</v>
      </c>
      <c r="H15" s="327">
        <f t="shared" si="5"/>
        <v>0</v>
      </c>
      <c r="I15" s="325">
        <f t="shared" si="6"/>
        <v>1.0758223902740998</v>
      </c>
      <c r="J15" s="328">
        <f t="shared" si="7"/>
        <v>0.37768328136550205</v>
      </c>
      <c r="K15" s="336">
        <f t="shared" si="8"/>
        <v>1.00000003937128</v>
      </c>
      <c r="L15" s="337">
        <f t="shared" si="9"/>
        <v>2.8061104298186975E-4</v>
      </c>
      <c r="M15" s="325">
        <f t="shared" si="10"/>
        <v>1.000000000059327</v>
      </c>
      <c r="N15" s="337">
        <f t="shared" si="11"/>
        <v>1.0892837999569173E-5</v>
      </c>
      <c r="O15" s="343">
        <f t="shared" si="12"/>
        <v>1.0000000000244056</v>
      </c>
      <c r="P15" s="691">
        <f t="shared" si="13"/>
        <v>6.9864944758222864E-6</v>
      </c>
      <c r="Q15" s="336">
        <f t="shared" ref="Q15:Q78" si="29">IF(VOUT_setting=1,1,SQRT((1+Afbr-$Q$5*(A15)^2)^2+(A15*$Q$4)^2))</f>
        <v>4.1565656568487643</v>
      </c>
      <c r="R15" s="692">
        <f t="shared" si="14"/>
        <v>1.1718815529277612E-5</v>
      </c>
      <c r="S15" s="329">
        <f t="shared" si="15"/>
        <v>0.99999999998906763</v>
      </c>
      <c r="T15" s="330">
        <f t="shared" si="16"/>
        <v>6.9571287432062572E-6</v>
      </c>
      <c r="U15" s="331">
        <f t="shared" si="17"/>
        <v>101.32215060808099</v>
      </c>
      <c r="V15" s="332">
        <f t="shared" si="18"/>
        <v>-21.77142703952001</v>
      </c>
      <c r="W15" s="334">
        <f t="shared" si="19"/>
        <v>158.22857296047999</v>
      </c>
      <c r="Y15" s="307">
        <f t="shared" si="20"/>
        <v>1000000000</v>
      </c>
      <c r="Z15" s="307">
        <f t="shared" si="21"/>
        <v>1.4455252899999997</v>
      </c>
      <c r="AB15" s="333">
        <f t="shared" si="22"/>
        <v>97.072413168469495</v>
      </c>
      <c r="AC15" s="334">
        <f t="shared" si="23"/>
        <v>-21.624204324801163</v>
      </c>
      <c r="AE15" s="333">
        <f t="shared" si="24"/>
        <v>28.665630165565123</v>
      </c>
      <c r="AF15" s="334">
        <f t="shared" si="25"/>
        <v>-0.14695157269487333</v>
      </c>
      <c r="AH15">
        <f t="shared" si="26"/>
        <v>0</v>
      </c>
      <c r="AI15">
        <f t="shared" si="27"/>
        <v>0</v>
      </c>
    </row>
    <row r="16" spans="1:35" x14ac:dyDescent="0.25">
      <c r="A16" s="335">
        <v>1.3183</v>
      </c>
      <c r="B16" s="352">
        <f t="shared" si="28"/>
        <v>1.3183000000000001E-3</v>
      </c>
      <c r="C16" s="325">
        <f t="shared" si="0"/>
        <v>1.0000039422419844</v>
      </c>
      <c r="D16" s="326">
        <f t="shared" si="1"/>
        <v>2.8079277175406142E-3</v>
      </c>
      <c r="E16" s="326">
        <f t="shared" si="2"/>
        <v>1.0000000000054889</v>
      </c>
      <c r="F16" s="327">
        <f t="shared" si="3"/>
        <v>3.3132492723838765E-6</v>
      </c>
      <c r="G16" s="326">
        <f t="shared" si="4"/>
        <v>1</v>
      </c>
      <c r="H16" s="327">
        <f t="shared" si="5"/>
        <v>0</v>
      </c>
      <c r="I16" s="325">
        <f t="shared" si="6"/>
        <v>1.0905183221027259</v>
      </c>
      <c r="J16" s="328">
        <f t="shared" si="7"/>
        <v>0.41031519230109409</v>
      </c>
      <c r="K16" s="336">
        <f t="shared" si="8"/>
        <v>1.0000000473349957</v>
      </c>
      <c r="L16" s="337">
        <f t="shared" si="9"/>
        <v>3.0768488397154615E-4</v>
      </c>
      <c r="M16" s="325">
        <f t="shared" si="10"/>
        <v>1.0000000000713272</v>
      </c>
      <c r="N16" s="337">
        <f t="shared" si="11"/>
        <v>1.1943797999432056E-5</v>
      </c>
      <c r="O16" s="343">
        <f t="shared" si="12"/>
        <v>1.0000000000293421</v>
      </c>
      <c r="P16" s="691">
        <f t="shared" si="13"/>
        <v>7.6605636425569403E-6</v>
      </c>
      <c r="Q16" s="336">
        <f t="shared" si="29"/>
        <v>4.1565656569060287</v>
      </c>
      <c r="R16" s="692">
        <f t="shared" si="14"/>
        <v>1.2849467281132298E-5</v>
      </c>
      <c r="S16" s="329">
        <f t="shared" si="15"/>
        <v>0.99999999998685618</v>
      </c>
      <c r="T16" s="330">
        <f t="shared" si="16"/>
        <v>7.6283646529186206E-6</v>
      </c>
      <c r="U16" s="331">
        <f t="shared" si="17"/>
        <v>101.20429715626393</v>
      </c>
      <c r="V16" s="332">
        <f t="shared" si="18"/>
        <v>-23.653811047496148</v>
      </c>
      <c r="W16" s="334">
        <f t="shared" si="19"/>
        <v>156.34618895250384</v>
      </c>
      <c r="Y16" s="307">
        <f t="shared" si="20"/>
        <v>1000000000</v>
      </c>
      <c r="Z16" s="307">
        <f t="shared" si="21"/>
        <v>1.7379148900000001</v>
      </c>
      <c r="AB16" s="333">
        <f t="shared" si="22"/>
        <v>96.954565477580616</v>
      </c>
      <c r="AC16" s="334">
        <f t="shared" si="23"/>
        <v>-23.492384099740605</v>
      </c>
      <c r="AE16" s="333">
        <f t="shared" si="24"/>
        <v>28.665624404713768</v>
      </c>
      <c r="AF16" s="334">
        <f t="shared" si="25"/>
        <v>-0.16112964547641359</v>
      </c>
      <c r="AH16">
        <f t="shared" si="26"/>
        <v>0</v>
      </c>
      <c r="AI16">
        <f t="shared" si="27"/>
        <v>0</v>
      </c>
    </row>
    <row r="17" spans="1:35" x14ac:dyDescent="0.25">
      <c r="A17" s="335">
        <v>1.4454</v>
      </c>
      <c r="B17" s="352">
        <f t="shared" si="28"/>
        <v>1.4454000000000001E-3</v>
      </c>
      <c r="C17" s="325">
        <f t="shared" si="0"/>
        <v>1.0000047390435793</v>
      </c>
      <c r="D17" s="326">
        <f t="shared" si="1"/>
        <v>3.0786441379195223E-3</v>
      </c>
      <c r="E17" s="326">
        <f t="shared" si="2"/>
        <v>1.0000000000065983</v>
      </c>
      <c r="F17" s="327">
        <f t="shared" si="3"/>
        <v>3.6326864130320209E-6</v>
      </c>
      <c r="G17" s="326">
        <f t="shared" si="4"/>
        <v>1</v>
      </c>
      <c r="H17" s="327">
        <f t="shared" si="5"/>
        <v>0</v>
      </c>
      <c r="I17" s="325">
        <f t="shared" si="6"/>
        <v>1.1079157470850511</v>
      </c>
      <c r="J17" s="328">
        <f t="shared" si="7"/>
        <v>0.44503474248557701</v>
      </c>
      <c r="K17" s="336">
        <f t="shared" si="8"/>
        <v>1.0000000569023153</v>
      </c>
      <c r="L17" s="337">
        <f t="shared" si="9"/>
        <v>3.3734941095039418E-4</v>
      </c>
      <c r="M17" s="325">
        <f t="shared" si="10"/>
        <v>1.0000000000857439</v>
      </c>
      <c r="N17" s="337">
        <f t="shared" si="11"/>
        <v>1.3095323999251437E-5</v>
      </c>
      <c r="O17" s="343">
        <f t="shared" si="12"/>
        <v>1.0000000000352727</v>
      </c>
      <c r="P17" s="691">
        <f t="shared" si="13"/>
        <v>8.3991342554107729E-6</v>
      </c>
      <c r="Q17" s="336">
        <f t="shared" si="29"/>
        <v>4.1565656569748253</v>
      </c>
      <c r="R17" s="692">
        <f t="shared" si="14"/>
        <v>1.4088310709204675E-5</v>
      </c>
      <c r="S17" s="329">
        <f t="shared" si="15"/>
        <v>0.99999999998419953</v>
      </c>
      <c r="T17" s="330">
        <f t="shared" si="16"/>
        <v>8.363830895380019E-6</v>
      </c>
      <c r="U17" s="331">
        <f t="shared" si="17"/>
        <v>101.06681494883253</v>
      </c>
      <c r="V17" s="332">
        <f t="shared" si="18"/>
        <v>-25.657024475896538</v>
      </c>
      <c r="W17" s="334">
        <f t="shared" si="19"/>
        <v>154.34297552410345</v>
      </c>
      <c r="Y17" s="307">
        <f t="shared" si="20"/>
        <v>1000000000</v>
      </c>
      <c r="Z17" s="307">
        <f t="shared" si="21"/>
        <v>2.0891811599999999</v>
      </c>
      <c r="AB17" s="333">
        <f t="shared" si="22"/>
        <v>96.817090191109401</v>
      </c>
      <c r="AC17" s="334">
        <f t="shared" si="23"/>
        <v>-25.480034119558002</v>
      </c>
      <c r="AE17" s="333">
        <f t="shared" si="24"/>
        <v>28.6656174838458</v>
      </c>
      <c r="AF17" s="334">
        <f t="shared" si="25"/>
        <v>-0.17666439053845401</v>
      </c>
      <c r="AH17">
        <f t="shared" si="26"/>
        <v>0</v>
      </c>
      <c r="AI17">
        <f t="shared" si="27"/>
        <v>0</v>
      </c>
    </row>
    <row r="18" spans="1:35" x14ac:dyDescent="0.25">
      <c r="A18" s="335">
        <v>1.5849</v>
      </c>
      <c r="B18" s="352">
        <f t="shared" si="28"/>
        <v>1.5849E-3</v>
      </c>
      <c r="C18" s="325">
        <f t="shared" si="0"/>
        <v>1.0000056979433125</v>
      </c>
      <c r="D18" s="326">
        <f t="shared" si="1"/>
        <v>3.3757713954621956E-3</v>
      </c>
      <c r="E18" s="326">
        <f t="shared" si="2"/>
        <v>1.0000000000079332</v>
      </c>
      <c r="F18" s="327">
        <f t="shared" si="3"/>
        <v>3.9832881527669331E-6</v>
      </c>
      <c r="G18" s="326">
        <f t="shared" si="4"/>
        <v>1</v>
      </c>
      <c r="H18" s="327">
        <f t="shared" si="5"/>
        <v>0</v>
      </c>
      <c r="I18" s="325">
        <f t="shared" si="6"/>
        <v>1.1284969076807285</v>
      </c>
      <c r="J18" s="328">
        <f t="shared" si="7"/>
        <v>0.48186003845940911</v>
      </c>
      <c r="K18" s="336">
        <f t="shared" si="8"/>
        <v>1.000000068415982</v>
      </c>
      <c r="L18" s="337">
        <f t="shared" si="9"/>
        <v>3.6990803743690992E-4</v>
      </c>
      <c r="M18" s="325">
        <f t="shared" si="10"/>
        <v>1.0000000001030931</v>
      </c>
      <c r="N18" s="337">
        <f t="shared" si="11"/>
        <v>1.435919399901311E-5</v>
      </c>
      <c r="O18" s="343">
        <f t="shared" si="12"/>
        <v>1.0000000000424099</v>
      </c>
      <c r="P18" s="691">
        <f t="shared" si="13"/>
        <v>9.2097605378007458E-6</v>
      </c>
      <c r="Q18" s="336">
        <f t="shared" si="29"/>
        <v>4.1565656570576177</v>
      </c>
      <c r="R18" s="692">
        <f t="shared" si="14"/>
        <v>1.5448016910698209E-5</v>
      </c>
      <c r="S18" s="329">
        <f t="shared" si="15"/>
        <v>0.99999999998100253</v>
      </c>
      <c r="T18" s="330">
        <f t="shared" si="16"/>
        <v>9.1710499419962926E-6</v>
      </c>
      <c r="U18" s="331">
        <f t="shared" si="17"/>
        <v>100.90693395564537</v>
      </c>
      <c r="V18" s="332">
        <f t="shared" si="18"/>
        <v>-27.782247219520066</v>
      </c>
      <c r="W18" s="334">
        <f t="shared" si="19"/>
        <v>152.21775278047994</v>
      </c>
      <c r="Y18" s="307">
        <f t="shared" si="20"/>
        <v>1000000000</v>
      </c>
      <c r="Z18" s="307">
        <f t="shared" si="21"/>
        <v>2.51190801</v>
      </c>
      <c r="AB18" s="333">
        <f t="shared" si="22"/>
        <v>96.657217526847688</v>
      </c>
      <c r="AC18" s="334">
        <f t="shared" si="23"/>
        <v>-27.588175103120008</v>
      </c>
      <c r="AE18" s="333">
        <f t="shared" si="24"/>
        <v>28.665609155031376</v>
      </c>
      <c r="AF18" s="334">
        <f t="shared" si="25"/>
        <v>-0.19371469063796556</v>
      </c>
      <c r="AH18">
        <f t="shared" si="26"/>
        <v>0</v>
      </c>
      <c r="AI18">
        <f t="shared" si="27"/>
        <v>0</v>
      </c>
    </row>
    <row r="19" spans="1:35" x14ac:dyDescent="0.25">
      <c r="A19" s="335">
        <v>1.7378</v>
      </c>
      <c r="B19" s="352">
        <f t="shared" si="28"/>
        <v>1.7378000000000001E-3</v>
      </c>
      <c r="C19" s="325">
        <f t="shared" si="0"/>
        <v>1.0000068503652655</v>
      </c>
      <c r="D19" s="326">
        <f t="shared" si="1"/>
        <v>3.7014392226634549E-3</v>
      </c>
      <c r="E19" s="326">
        <f t="shared" si="2"/>
        <v>1.0000000000095377</v>
      </c>
      <c r="F19" s="327">
        <f t="shared" si="3"/>
        <v>4.367567765708229E-6</v>
      </c>
      <c r="G19" s="326">
        <f t="shared" si="4"/>
        <v>1</v>
      </c>
      <c r="H19" s="327">
        <f t="shared" si="5"/>
        <v>0</v>
      </c>
      <c r="I19" s="325">
        <f t="shared" si="6"/>
        <v>1.1527456446151039</v>
      </c>
      <c r="J19" s="328">
        <f t="shared" si="7"/>
        <v>0.52065394768354512</v>
      </c>
      <c r="K19" s="336">
        <f t="shared" si="8"/>
        <v>1.0000000822533162</v>
      </c>
      <c r="L19" s="337">
        <f t="shared" si="9"/>
        <v>4.0559415832409733E-4</v>
      </c>
      <c r="M19" s="325">
        <f t="shared" si="10"/>
        <v>1.0000000001239442</v>
      </c>
      <c r="N19" s="337">
        <f t="shared" si="11"/>
        <v>1.5744467998699043E-5</v>
      </c>
      <c r="O19" s="343">
        <f t="shared" si="12"/>
        <v>1.0000000000509872</v>
      </c>
      <c r="P19" s="691">
        <f t="shared" si="13"/>
        <v>1.0098253430814951E-5</v>
      </c>
      <c r="Q19" s="336">
        <f t="shared" si="29"/>
        <v>4.1565656571571177</v>
      </c>
      <c r="R19" s="692">
        <f t="shared" si="14"/>
        <v>1.693833288345301E-5</v>
      </c>
      <c r="S19" s="329">
        <f t="shared" si="15"/>
        <v>0.99999999997716027</v>
      </c>
      <c r="T19" s="330">
        <f t="shared" si="16"/>
        <v>1.0055808309235652E-5</v>
      </c>
      <c r="U19" s="331">
        <f t="shared" si="17"/>
        <v>100.72226173271127</v>
      </c>
      <c r="V19" s="332">
        <f t="shared" si="18"/>
        <v>-30.021731746939963</v>
      </c>
      <c r="W19" s="334">
        <f t="shared" si="19"/>
        <v>149.97826825306004</v>
      </c>
      <c r="Y19" s="307">
        <f t="shared" si="20"/>
        <v>1000000000</v>
      </c>
      <c r="Z19" s="307">
        <f t="shared" si="21"/>
        <v>3.0199488400000001</v>
      </c>
      <c r="AB19" s="333">
        <f t="shared" si="22"/>
        <v>96.47255531374681</v>
      </c>
      <c r="AC19" s="334">
        <f t="shared" si="23"/>
        <v>-29.808937081253845</v>
      </c>
      <c r="AE19" s="333">
        <f t="shared" si="24"/>
        <v>28.665599145331587</v>
      </c>
      <c r="AF19" s="334">
        <f t="shared" si="25"/>
        <v>-0.21240275800150499</v>
      </c>
      <c r="AH19">
        <f t="shared" si="26"/>
        <v>0</v>
      </c>
      <c r="AI19">
        <f t="shared" si="27"/>
        <v>0</v>
      </c>
    </row>
    <row r="20" spans="1:35" x14ac:dyDescent="0.25">
      <c r="A20" s="335">
        <v>1.9055</v>
      </c>
      <c r="B20" s="352">
        <f t="shared" si="28"/>
        <v>1.9055000000000001E-3</v>
      </c>
      <c r="C20" s="325">
        <f t="shared" si="0"/>
        <v>1.0000082362922513</v>
      </c>
      <c r="D20" s="326">
        <f t="shared" si="1"/>
        <v>4.0586292565946468E-3</v>
      </c>
      <c r="E20" s="326">
        <f t="shared" si="2"/>
        <v>1.0000000000114675</v>
      </c>
      <c r="F20" s="327">
        <f t="shared" si="3"/>
        <v>4.7890438356233884E-6</v>
      </c>
      <c r="G20" s="326">
        <f t="shared" si="4"/>
        <v>1</v>
      </c>
      <c r="H20" s="327">
        <f t="shared" si="5"/>
        <v>0</v>
      </c>
      <c r="I20" s="325">
        <f t="shared" si="6"/>
        <v>1.181248618913582</v>
      </c>
      <c r="J20" s="328">
        <f t="shared" si="7"/>
        <v>0.56130378907379441</v>
      </c>
      <c r="K20" s="336">
        <f t="shared" si="8"/>
        <v>1.0000000988944076</v>
      </c>
      <c r="L20" s="337">
        <f t="shared" si="9"/>
        <v>4.4473452647739425E-4</v>
      </c>
      <c r="M20" s="325">
        <f t="shared" si="10"/>
        <v>1.0000000001490199</v>
      </c>
      <c r="N20" s="337">
        <f t="shared" si="11"/>
        <v>1.7263829998284895E-5</v>
      </c>
      <c r="O20" s="343">
        <f t="shared" si="12"/>
        <v>1.000000000061303</v>
      </c>
      <c r="P20" s="691">
        <f t="shared" si="13"/>
        <v>1.1072748251976958E-5</v>
      </c>
      <c r="Q20" s="336">
        <f t="shared" si="29"/>
        <v>4.1565656572767793</v>
      </c>
      <c r="R20" s="692">
        <f t="shared" si="14"/>
        <v>1.85729044244463E-5</v>
      </c>
      <c r="S20" s="329">
        <f t="shared" si="15"/>
        <v>0.99999999997253941</v>
      </c>
      <c r="T20" s="330">
        <f t="shared" si="16"/>
        <v>1.1026207120153301E-5</v>
      </c>
      <c r="U20" s="331">
        <f t="shared" si="17"/>
        <v>100.51009336423778</v>
      </c>
      <c r="V20" s="332">
        <f t="shared" si="18"/>
        <v>-32.369175326281095</v>
      </c>
      <c r="W20" s="334">
        <f t="shared" si="19"/>
        <v>147.63082467371891</v>
      </c>
      <c r="Y20" s="307">
        <f t="shared" si="20"/>
        <v>1000000000</v>
      </c>
      <c r="Z20" s="307">
        <f t="shared" si="21"/>
        <v>3.63093025</v>
      </c>
      <c r="AB20" s="333">
        <f t="shared" si="22"/>
        <v>96.260398983294891</v>
      </c>
      <c r="AC20" s="334">
        <f t="shared" si="23"/>
        <v>-32.135845908576577</v>
      </c>
      <c r="AE20" s="333">
        <f t="shared" si="24"/>
        <v>28.665587107470447</v>
      </c>
      <c r="AF20" s="334">
        <f t="shared" si="25"/>
        <v>-0.2328996904096563</v>
      </c>
      <c r="AH20">
        <f t="shared" si="26"/>
        <v>0</v>
      </c>
      <c r="AI20">
        <f t="shared" si="27"/>
        <v>0</v>
      </c>
    </row>
    <row r="21" spans="1:35" x14ac:dyDescent="0.25">
      <c r="A21" s="335">
        <v>2.0893000000000002</v>
      </c>
      <c r="B21" s="352">
        <f t="shared" si="28"/>
        <v>2.0893000000000001E-3</v>
      </c>
      <c r="C21" s="325">
        <f t="shared" si="0"/>
        <v>1.0000099018214099</v>
      </c>
      <c r="D21" s="326">
        <f t="shared" si="1"/>
        <v>4.450110044827699E-3</v>
      </c>
      <c r="E21" s="326">
        <f t="shared" si="2"/>
        <v>1.0000000000137863</v>
      </c>
      <c r="F21" s="327">
        <f t="shared" si="3"/>
        <v>5.2509836188677394E-6</v>
      </c>
      <c r="G21" s="326">
        <f t="shared" si="4"/>
        <v>1</v>
      </c>
      <c r="H21" s="327">
        <f t="shared" si="5"/>
        <v>0</v>
      </c>
      <c r="I21" s="325">
        <f t="shared" si="6"/>
        <v>1.2146173732266963</v>
      </c>
      <c r="J21" s="328">
        <f t="shared" si="7"/>
        <v>0.60358769631377474</v>
      </c>
      <c r="K21" s="336">
        <f t="shared" si="8"/>
        <v>1.0000001188927663</v>
      </c>
      <c r="L21" s="337">
        <f t="shared" si="9"/>
        <v>4.8763255511997895E-4</v>
      </c>
      <c r="M21" s="325">
        <f t="shared" si="10"/>
        <v>1.0000000001791545</v>
      </c>
      <c r="N21" s="337">
        <f t="shared" si="11"/>
        <v>1.8929057997739181E-5</v>
      </c>
      <c r="O21" s="343">
        <f t="shared" si="12"/>
        <v>1.0000000000736995</v>
      </c>
      <c r="P21" s="691">
        <f t="shared" si="13"/>
        <v>1.214079922469917E-5</v>
      </c>
      <c r="Q21" s="336">
        <f t="shared" si="29"/>
        <v>4.1565656574205816</v>
      </c>
      <c r="R21" s="692">
        <f t="shared" si="14"/>
        <v>2.03644026308603E-5</v>
      </c>
      <c r="S21" s="329">
        <f t="shared" si="15"/>
        <v>0.99999999996698641</v>
      </c>
      <c r="T21" s="330">
        <f t="shared" si="16"/>
        <v>1.2089768846160388E-5</v>
      </c>
      <c r="U21" s="331">
        <f t="shared" si="17"/>
        <v>100.26811557124711</v>
      </c>
      <c r="V21" s="332">
        <f t="shared" si="18"/>
        <v>-34.812008407589197</v>
      </c>
      <c r="W21" s="334">
        <f t="shared" si="19"/>
        <v>145.18799159241081</v>
      </c>
      <c r="Y21" s="307">
        <f t="shared" si="20"/>
        <v>1000000000</v>
      </c>
      <c r="Z21" s="307">
        <f t="shared" si="21"/>
        <v>4.3651744900000002</v>
      </c>
      <c r="AB21" s="333">
        <f t="shared" si="22"/>
        <v>96.018435656899953</v>
      </c>
      <c r="AC21" s="334">
        <f t="shared" si="23"/>
        <v>-34.556172872061381</v>
      </c>
      <c r="AE21" s="333">
        <f t="shared" si="24"/>
        <v>28.665572641067556</v>
      </c>
      <c r="AF21" s="334">
        <f t="shared" si="25"/>
        <v>-0.25536435775971733</v>
      </c>
      <c r="AH21">
        <f t="shared" si="26"/>
        <v>0</v>
      </c>
      <c r="AI21">
        <f t="shared" si="27"/>
        <v>0</v>
      </c>
    </row>
    <row r="22" spans="1:35" x14ac:dyDescent="0.25">
      <c r="A22" s="335">
        <v>2.2909000000000002</v>
      </c>
      <c r="B22" s="352">
        <f t="shared" si="28"/>
        <v>2.2909000000000002E-3</v>
      </c>
      <c r="C22" s="325">
        <f t="shared" si="0"/>
        <v>1.0000119048878933</v>
      </c>
      <c r="D22" s="326">
        <f t="shared" si="1"/>
        <v>4.8795019805498883E-3</v>
      </c>
      <c r="E22" s="326">
        <f t="shared" si="2"/>
        <v>1.0000000000165752</v>
      </c>
      <c r="F22" s="327">
        <f t="shared" si="3"/>
        <v>5.7576596814443777E-6</v>
      </c>
      <c r="G22" s="326">
        <f t="shared" si="4"/>
        <v>1</v>
      </c>
      <c r="H22" s="327">
        <f t="shared" si="5"/>
        <v>0</v>
      </c>
      <c r="I22" s="325">
        <f t="shared" si="6"/>
        <v>1.2535727869523654</v>
      </c>
      <c r="J22" s="328">
        <f t="shared" si="7"/>
        <v>0.6472916502381324</v>
      </c>
      <c r="K22" s="336">
        <f t="shared" si="8"/>
        <v>1.0000001429440497</v>
      </c>
      <c r="L22" s="337">
        <f t="shared" si="9"/>
        <v>5.3468501536987965E-4</v>
      </c>
      <c r="M22" s="325">
        <f t="shared" si="10"/>
        <v>1.0000000002153966</v>
      </c>
      <c r="N22" s="337">
        <f t="shared" si="11"/>
        <v>2.0755553997019551E-5</v>
      </c>
      <c r="O22" s="343">
        <f t="shared" si="12"/>
        <v>1.0000000000886085</v>
      </c>
      <c r="P22" s="691">
        <f t="shared" si="13"/>
        <v>1.3312284948828261E-5</v>
      </c>
      <c r="Q22" s="336">
        <f t="shared" si="29"/>
        <v>4.1565656575935286</v>
      </c>
      <c r="R22" s="692">
        <f t="shared" si="14"/>
        <v>2.2329397399008777E-5</v>
      </c>
      <c r="S22" s="329">
        <f t="shared" si="15"/>
        <v>0.99999999996030797</v>
      </c>
      <c r="T22" s="330">
        <f t="shared" si="16"/>
        <v>1.3256330565256442E-5</v>
      </c>
      <c r="U22" s="331">
        <f t="shared" si="17"/>
        <v>99.993897041755474</v>
      </c>
      <c r="V22" s="332">
        <f t="shared" si="18"/>
        <v>-37.338154880555827</v>
      </c>
      <c r="W22" s="334">
        <f t="shared" si="19"/>
        <v>142.66184511944417</v>
      </c>
      <c r="Y22" s="307">
        <f t="shared" si="20"/>
        <v>1000000000</v>
      </c>
      <c r="Z22" s="307">
        <f t="shared" si="21"/>
        <v>5.2482228100000006</v>
      </c>
      <c r="AB22" s="333">
        <f t="shared" si="22"/>
        <v>95.744234525782701</v>
      </c>
      <c r="AC22" s="334">
        <f t="shared" si="23"/>
        <v>-37.057633725943653</v>
      </c>
      <c r="AE22" s="333">
        <f t="shared" si="24"/>
        <v>28.665555242925073</v>
      </c>
      <c r="AF22" s="334">
        <f t="shared" si="25"/>
        <v>-0.28000451212478678</v>
      </c>
      <c r="AH22">
        <f t="shared" si="26"/>
        <v>0</v>
      </c>
      <c r="AI22">
        <f t="shared" si="27"/>
        <v>0</v>
      </c>
    </row>
    <row r="23" spans="1:35" x14ac:dyDescent="0.25">
      <c r="A23" s="335">
        <v>2.5118999999999998</v>
      </c>
      <c r="B23" s="352">
        <f t="shared" si="28"/>
        <v>2.5118999999999996E-3</v>
      </c>
      <c r="C23" s="325">
        <f t="shared" si="0"/>
        <v>1.000014312556518</v>
      </c>
      <c r="D23" s="326">
        <f t="shared" si="1"/>
        <v>5.350212297163804E-3</v>
      </c>
      <c r="E23" s="326">
        <f t="shared" si="2"/>
        <v>1.0000000000199276</v>
      </c>
      <c r="F23" s="327">
        <f t="shared" si="3"/>
        <v>6.3130932619441298E-6</v>
      </c>
      <c r="G23" s="326">
        <f t="shared" si="4"/>
        <v>1</v>
      </c>
      <c r="H23" s="327">
        <f t="shared" si="5"/>
        <v>0</v>
      </c>
      <c r="I23" s="325">
        <f t="shared" si="6"/>
        <v>1.2988516845902229</v>
      </c>
      <c r="J23" s="328">
        <f t="shared" si="7"/>
        <v>0.69209489271712299</v>
      </c>
      <c r="K23" s="336">
        <f t="shared" si="8"/>
        <v>1.0000001718535483</v>
      </c>
      <c r="L23" s="337">
        <f t="shared" si="9"/>
        <v>5.8626533861037822E-4</v>
      </c>
      <c r="M23" s="325">
        <f t="shared" si="10"/>
        <v>1.0000000002589591</v>
      </c>
      <c r="N23" s="337">
        <f t="shared" si="11"/>
        <v>2.2757813996071101E-5</v>
      </c>
      <c r="O23" s="343">
        <f t="shared" si="12"/>
        <v>1.000000000106529</v>
      </c>
      <c r="P23" s="691">
        <f t="shared" si="13"/>
        <v>1.4596502930098304E-5</v>
      </c>
      <c r="Q23" s="336">
        <f t="shared" si="29"/>
        <v>4.1565656578014085</v>
      </c>
      <c r="R23" s="692">
        <f t="shared" si="14"/>
        <v>2.4483483925403831E-5</v>
      </c>
      <c r="S23" s="329">
        <f t="shared" si="15"/>
        <v>0.99999999995228039</v>
      </c>
      <c r="T23" s="330">
        <f t="shared" si="16"/>
        <v>1.4535150703798593E-5</v>
      </c>
      <c r="U23" s="331">
        <f t="shared" si="17"/>
        <v>99.685676254953975</v>
      </c>
      <c r="V23" s="332">
        <f t="shared" si="18"/>
        <v>-39.929411973592352</v>
      </c>
      <c r="W23" s="334">
        <f t="shared" si="19"/>
        <v>140.07058802640765</v>
      </c>
      <c r="Y23" s="307">
        <f t="shared" si="20"/>
        <v>1000000000</v>
      </c>
      <c r="Z23" s="307">
        <f t="shared" si="21"/>
        <v>6.309641609999999</v>
      </c>
      <c r="AB23" s="333">
        <f t="shared" si="22"/>
        <v>95.436034651630933</v>
      </c>
      <c r="AC23" s="334">
        <f t="shared" si="23"/>
        <v>-39.621829817640915</v>
      </c>
      <c r="AE23" s="333">
        <f t="shared" si="24"/>
        <v>28.665534330554099</v>
      </c>
      <c r="AF23" s="334">
        <f t="shared" si="25"/>
        <v>-0.30701567366762794</v>
      </c>
      <c r="AH23">
        <f t="shared" si="26"/>
        <v>0</v>
      </c>
      <c r="AI23">
        <f t="shared" si="27"/>
        <v>0</v>
      </c>
    </row>
    <row r="24" spans="1:35" x14ac:dyDescent="0.25">
      <c r="A24" s="335">
        <v>2.7542</v>
      </c>
      <c r="B24" s="352">
        <f t="shared" si="28"/>
        <v>2.7542000000000001E-3</v>
      </c>
      <c r="C24" s="325">
        <f t="shared" si="0"/>
        <v>1.0000172069082192</v>
      </c>
      <c r="D24" s="326">
        <f t="shared" si="1"/>
        <v>5.8662869843356391E-3</v>
      </c>
      <c r="E24" s="326">
        <f t="shared" si="2"/>
        <v>1.0000000000239575</v>
      </c>
      <c r="F24" s="327">
        <f t="shared" si="3"/>
        <v>6.9220595811934437E-6</v>
      </c>
      <c r="G24" s="326">
        <f t="shared" si="4"/>
        <v>1</v>
      </c>
      <c r="H24" s="327">
        <f t="shared" si="5"/>
        <v>0</v>
      </c>
      <c r="I24" s="325">
        <f t="shared" si="6"/>
        <v>1.3512765821714796</v>
      </c>
      <c r="J24" s="328">
        <f t="shared" si="7"/>
        <v>0.73766509003881475</v>
      </c>
      <c r="K24" s="336">
        <f t="shared" si="8"/>
        <v>1.0000002066068669</v>
      </c>
      <c r="L24" s="337">
        <f t="shared" si="9"/>
        <v>6.4281697447752921E-4</v>
      </c>
      <c r="M24" s="325">
        <f t="shared" si="10"/>
        <v>1.0000000003113274</v>
      </c>
      <c r="N24" s="337">
        <f t="shared" si="11"/>
        <v>2.4953051994820951E-5</v>
      </c>
      <c r="O24" s="343">
        <f t="shared" si="12"/>
        <v>1.0000000001280718</v>
      </c>
      <c r="P24" s="691">
        <f t="shared" si="13"/>
        <v>1.6004493956566494E-5</v>
      </c>
      <c r="Q24" s="336">
        <f t="shared" si="29"/>
        <v>4.15656565805131</v>
      </c>
      <c r="R24" s="692">
        <f t="shared" si="14"/>
        <v>2.6845181505894124E-5</v>
      </c>
      <c r="S24" s="329">
        <f t="shared" si="15"/>
        <v>0.99999999994263034</v>
      </c>
      <c r="T24" s="330">
        <f t="shared" si="16"/>
        <v>1.5937223643088285E-5</v>
      </c>
      <c r="U24" s="331">
        <f t="shared" si="17"/>
        <v>99.341957647154103</v>
      </c>
      <c r="V24" s="332">
        <f t="shared" si="18"/>
        <v>-42.566946549041035</v>
      </c>
      <c r="W24" s="334">
        <f t="shared" si="19"/>
        <v>137.43305345095897</v>
      </c>
      <c r="Y24" s="307">
        <f t="shared" si="20"/>
        <v>1000000000</v>
      </c>
      <c r="Z24" s="307">
        <f t="shared" si="21"/>
        <v>7.5856176399999997</v>
      </c>
      <c r="AB24" s="333">
        <f t="shared" si="22"/>
        <v>95.092341183670584</v>
      </c>
      <c r="AC24" s="334">
        <f t="shared" si="23"/>
        <v>-42.229695406544749</v>
      </c>
      <c r="AE24" s="333">
        <f t="shared" si="24"/>
        <v>28.665509191049662</v>
      </c>
      <c r="AF24" s="334">
        <f t="shared" si="25"/>
        <v>-0.3366300168519798</v>
      </c>
      <c r="AH24">
        <f t="shared" si="26"/>
        <v>0</v>
      </c>
      <c r="AI24">
        <f t="shared" si="27"/>
        <v>0</v>
      </c>
    </row>
    <row r="25" spans="1:35" x14ac:dyDescent="0.25">
      <c r="A25" s="335">
        <v>3.02</v>
      </c>
      <c r="B25" s="352">
        <f t="shared" si="28"/>
        <v>3.0200000000000001E-3</v>
      </c>
      <c r="C25" s="325">
        <f t="shared" si="0"/>
        <v>1.0000206883104312</v>
      </c>
      <c r="D25" s="326">
        <f t="shared" si="1"/>
        <v>6.4324107091708327E-3</v>
      </c>
      <c r="E25" s="326">
        <f t="shared" si="2"/>
        <v>1.0000000000288047</v>
      </c>
      <c r="F25" s="327">
        <f t="shared" si="3"/>
        <v>7.5900878422542472E-6</v>
      </c>
      <c r="G25" s="326">
        <f t="shared" si="4"/>
        <v>1</v>
      </c>
      <c r="H25" s="327">
        <f t="shared" si="5"/>
        <v>0</v>
      </c>
      <c r="I25" s="325">
        <f t="shared" si="6"/>
        <v>1.4117580659610287</v>
      </c>
      <c r="J25" s="328">
        <f t="shared" si="7"/>
        <v>0.78365732912754293</v>
      </c>
      <c r="K25" s="336">
        <f t="shared" si="8"/>
        <v>1.0000002484092028</v>
      </c>
      <c r="L25" s="337">
        <f t="shared" si="9"/>
        <v>7.048533907564312E-4</v>
      </c>
      <c r="M25" s="325">
        <f t="shared" si="10"/>
        <v>1.0000000003743177</v>
      </c>
      <c r="N25" s="337">
        <f t="shared" si="11"/>
        <v>2.7361199993172144E-5</v>
      </c>
      <c r="O25" s="343">
        <f t="shared" si="12"/>
        <v>1.0000000001539844</v>
      </c>
      <c r="P25" s="691">
        <f t="shared" si="13"/>
        <v>1.7549042098611521E-5</v>
      </c>
      <c r="Q25" s="336">
        <f t="shared" si="29"/>
        <v>4.1565656583518988</v>
      </c>
      <c r="R25" s="692">
        <f t="shared" si="14"/>
        <v>2.9435933535657382E-5</v>
      </c>
      <c r="S25" s="329">
        <f t="shared" si="15"/>
        <v>0.99999999993102273</v>
      </c>
      <c r="T25" s="330">
        <f t="shared" si="16"/>
        <v>1.7475279719373154E-5</v>
      </c>
      <c r="U25" s="331">
        <f t="shared" si="17"/>
        <v>98.961607225334177</v>
      </c>
      <c r="V25" s="332">
        <f t="shared" si="18"/>
        <v>-45.231237586218448</v>
      </c>
      <c r="W25" s="334">
        <f t="shared" si="19"/>
        <v>134.76876241378156</v>
      </c>
      <c r="Y25" s="307">
        <f t="shared" si="20"/>
        <v>1000000000</v>
      </c>
      <c r="Z25" s="307">
        <f t="shared" si="21"/>
        <v>9.1204000000000001</v>
      </c>
      <c r="AB25" s="333">
        <f t="shared" si="22"/>
        <v>94.712021000613248</v>
      </c>
      <c r="AC25" s="334">
        <f t="shared" si="23"/>
        <v>-44.861440151580545</v>
      </c>
      <c r="AE25" s="333">
        <f t="shared" si="24"/>
        <v>28.665478952690133</v>
      </c>
      <c r="AF25" s="334">
        <f t="shared" si="25"/>
        <v>-0.36911636592625435</v>
      </c>
      <c r="AH25">
        <f t="shared" si="26"/>
        <v>0</v>
      </c>
      <c r="AI25">
        <f t="shared" si="27"/>
        <v>0</v>
      </c>
    </row>
    <row r="26" spans="1:35" x14ac:dyDescent="0.25">
      <c r="A26" s="335">
        <v>3.3113000000000001</v>
      </c>
      <c r="B26" s="352">
        <f t="shared" si="28"/>
        <v>3.3113000000000001E-3</v>
      </c>
      <c r="C26" s="325">
        <f t="shared" si="0"/>
        <v>1.0000248718040865</v>
      </c>
      <c r="D26" s="326">
        <f t="shared" si="1"/>
        <v>7.0528417807093702E-3</v>
      </c>
      <c r="E26" s="326">
        <f t="shared" si="2"/>
        <v>1.0000000000346296</v>
      </c>
      <c r="F26" s="327">
        <f t="shared" si="3"/>
        <v>8.3222045933638715E-6</v>
      </c>
      <c r="G26" s="326">
        <f t="shared" si="4"/>
        <v>1</v>
      </c>
      <c r="H26" s="327">
        <f t="shared" si="5"/>
        <v>0</v>
      </c>
      <c r="I26" s="325">
        <f t="shared" si="6"/>
        <v>1.4811736783127811</v>
      </c>
      <c r="J26" s="328">
        <f t="shared" si="7"/>
        <v>0.82964149068879733</v>
      </c>
      <c r="K26" s="336">
        <f t="shared" si="8"/>
        <v>1.0000002986419703</v>
      </c>
      <c r="L26" s="337">
        <f t="shared" si="9"/>
        <v>7.7284137571199875E-4</v>
      </c>
      <c r="M26" s="325">
        <f t="shared" si="10"/>
        <v>1.0000000004500114</v>
      </c>
      <c r="N26" s="337">
        <f t="shared" si="11"/>
        <v>3.000037799099966E-5</v>
      </c>
      <c r="O26" s="343">
        <f t="shared" si="12"/>
        <v>1.0000000001851228</v>
      </c>
      <c r="P26" s="691">
        <f t="shared" si="13"/>
        <v>1.9241769238386101E-5</v>
      </c>
      <c r="Q26" s="336">
        <f t="shared" si="29"/>
        <v>4.1565656587131095</v>
      </c>
      <c r="R26" s="692">
        <f t="shared" si="14"/>
        <v>3.2275234010264357E-5</v>
      </c>
      <c r="S26" s="329">
        <f t="shared" si="15"/>
        <v>0.99999999991707433</v>
      </c>
      <c r="T26" s="330">
        <f t="shared" si="16"/>
        <v>1.9160891965616903E-5</v>
      </c>
      <c r="U26" s="331">
        <f t="shared" si="17"/>
        <v>98.544657165122018</v>
      </c>
      <c r="V26" s="332">
        <f t="shared" si="18"/>
        <v>-47.897860167296791</v>
      </c>
      <c r="W26" s="334">
        <f t="shared" si="19"/>
        <v>132.10213983270322</v>
      </c>
      <c r="Y26" s="307">
        <f t="shared" si="20"/>
        <v>1000000000</v>
      </c>
      <c r="Z26" s="307">
        <f t="shared" si="21"/>
        <v>10.964707690000001</v>
      </c>
      <c r="AB26" s="333">
        <f t="shared" si="22"/>
        <v>94.295107277250139</v>
      </c>
      <c r="AC26" s="334">
        <f t="shared" si="23"/>
        <v>-47.492394325659539</v>
      </c>
      <c r="AE26" s="333">
        <f t="shared" si="24"/>
        <v>28.665442616325443</v>
      </c>
      <c r="AF26" s="334">
        <f t="shared" si="25"/>
        <v>-0.40471907911252974</v>
      </c>
      <c r="AH26">
        <f t="shared" si="26"/>
        <v>0</v>
      </c>
      <c r="AI26">
        <f t="shared" si="27"/>
        <v>0</v>
      </c>
    </row>
    <row r="27" spans="1:35" x14ac:dyDescent="0.25">
      <c r="A27" s="335">
        <v>3.6307999999999998</v>
      </c>
      <c r="B27" s="352">
        <f t="shared" si="28"/>
        <v>3.6308E-3</v>
      </c>
      <c r="C27" s="325">
        <f t="shared" si="0"/>
        <v>1.0000299029332205</v>
      </c>
      <c r="D27" s="326">
        <f t="shared" si="1"/>
        <v>7.7333289190499605E-3</v>
      </c>
      <c r="E27" s="326">
        <f t="shared" si="2"/>
        <v>1.0000000000416347</v>
      </c>
      <c r="F27" s="327">
        <f t="shared" si="3"/>
        <v>9.1251956746427164E-6</v>
      </c>
      <c r="G27" s="326">
        <f t="shared" si="4"/>
        <v>1</v>
      </c>
      <c r="H27" s="327">
        <f t="shared" si="5"/>
        <v>0</v>
      </c>
      <c r="I27" s="325">
        <f t="shared" si="6"/>
        <v>1.5605701247391504</v>
      </c>
      <c r="J27" s="328">
        <f t="shared" si="7"/>
        <v>0.87526758192762744</v>
      </c>
      <c r="K27" s="336">
        <f t="shared" si="8"/>
        <v>1.0000003590528881</v>
      </c>
      <c r="L27" s="337">
        <f t="shared" si="9"/>
        <v>8.4741109350561911E-4</v>
      </c>
      <c r="M27" s="325">
        <f t="shared" si="10"/>
        <v>1.0000000005410421</v>
      </c>
      <c r="N27" s="337">
        <f t="shared" si="11"/>
        <v>3.2895047988134926E-5</v>
      </c>
      <c r="O27" s="343">
        <f t="shared" si="12"/>
        <v>1.0000000002225704</v>
      </c>
      <c r="P27" s="691">
        <f t="shared" si="13"/>
        <v>2.1098364916796457E-5</v>
      </c>
      <c r="Q27" s="336">
        <f t="shared" si="29"/>
        <v>4.1565656591475078</v>
      </c>
      <c r="R27" s="692">
        <f t="shared" si="14"/>
        <v>3.5389399823735829E-5</v>
      </c>
      <c r="S27" s="329">
        <f t="shared" si="15"/>
        <v>0.99999999990029975</v>
      </c>
      <c r="T27" s="330">
        <f t="shared" si="16"/>
        <v>2.1009683976320465E-5</v>
      </c>
      <c r="U27" s="331">
        <f t="shared" si="17"/>
        <v>98.091067931339381</v>
      </c>
      <c r="V27" s="332">
        <f t="shared" si="18"/>
        <v>-50.547056970733081</v>
      </c>
      <c r="W27" s="334">
        <f t="shared" si="19"/>
        <v>129.45294302926692</v>
      </c>
      <c r="Y27" s="307">
        <f t="shared" si="20"/>
        <v>1000000000</v>
      </c>
      <c r="Z27" s="307">
        <f t="shared" si="21"/>
        <v>13.182708639999998</v>
      </c>
      <c r="AB27" s="333">
        <f t="shared" si="22"/>
        <v>93.841561742479072</v>
      </c>
      <c r="AC27" s="334">
        <f t="shared" si="23"/>
        <v>-50.102470114570636</v>
      </c>
      <c r="AE27" s="333">
        <f t="shared" si="24"/>
        <v>28.665398917896361</v>
      </c>
      <c r="AF27" s="334">
        <f t="shared" si="25"/>
        <v>-0.44376804017646743</v>
      </c>
      <c r="AH27">
        <f t="shared" si="26"/>
        <v>0</v>
      </c>
      <c r="AI27">
        <f t="shared" si="27"/>
        <v>0</v>
      </c>
    </row>
    <row r="28" spans="1:35" x14ac:dyDescent="0.25">
      <c r="A28" s="335">
        <v>3.9811000000000001</v>
      </c>
      <c r="B28" s="352">
        <f t="shared" si="28"/>
        <v>3.9811000000000004E-3</v>
      </c>
      <c r="C28" s="325">
        <f t="shared" si="0"/>
        <v>1.0000359512501842</v>
      </c>
      <c r="D28" s="326">
        <f t="shared" si="1"/>
        <v>8.4794071892034598E-3</v>
      </c>
      <c r="E28" s="326">
        <f t="shared" si="2"/>
        <v>1.000000000050056</v>
      </c>
      <c r="F28" s="327">
        <f t="shared" si="3"/>
        <v>1.0005595598798108E-5</v>
      </c>
      <c r="G28" s="326">
        <f t="shared" si="4"/>
        <v>1</v>
      </c>
      <c r="H28" s="327">
        <f t="shared" si="5"/>
        <v>0</v>
      </c>
      <c r="I28" s="325">
        <f t="shared" si="6"/>
        <v>1.6509728337950111</v>
      </c>
      <c r="J28" s="328">
        <f t="shared" si="7"/>
        <v>0.92014663691516929</v>
      </c>
      <c r="K28" s="336">
        <f t="shared" si="8"/>
        <v>1.0000004316780124</v>
      </c>
      <c r="L28" s="337">
        <f t="shared" si="9"/>
        <v>9.2916936791207307E-4</v>
      </c>
      <c r="M28" s="325">
        <f t="shared" si="10"/>
        <v>1.0000000006504779</v>
      </c>
      <c r="N28" s="337">
        <f t="shared" si="11"/>
        <v>3.6068765984358706E-5</v>
      </c>
      <c r="O28" s="343">
        <f t="shared" si="12"/>
        <v>1.0000000002675895</v>
      </c>
      <c r="P28" s="691">
        <f t="shared" si="13"/>
        <v>2.3133937580626164E-5</v>
      </c>
      <c r="Q28" s="336">
        <f t="shared" si="29"/>
        <v>4.1565656596697353</v>
      </c>
      <c r="R28" s="692">
        <f t="shared" si="14"/>
        <v>3.8803773170244016E-5</v>
      </c>
      <c r="S28" s="329">
        <f t="shared" si="15"/>
        <v>0.99999999988013344</v>
      </c>
      <c r="T28" s="330">
        <f t="shared" si="16"/>
        <v>2.3036700694354079E-5</v>
      </c>
      <c r="U28" s="331">
        <f t="shared" si="17"/>
        <v>97.601883256584458</v>
      </c>
      <c r="V28" s="332">
        <f t="shared" si="18"/>
        <v>-53.156826681448791</v>
      </c>
      <c r="W28" s="334">
        <f t="shared" si="19"/>
        <v>126.84317331855121</v>
      </c>
      <c r="Y28" s="307">
        <f t="shared" si="20"/>
        <v>1000000000</v>
      </c>
      <c r="Z28" s="307">
        <f t="shared" si="21"/>
        <v>15.849157210000001</v>
      </c>
      <c r="AB28" s="333">
        <f t="shared" si="22"/>
        <v>93.35242960145996</v>
      </c>
      <c r="AC28" s="334">
        <f t="shared" si="23"/>
        <v>-52.669347993408202</v>
      </c>
      <c r="AE28" s="333">
        <f t="shared" si="24"/>
        <v>28.665346384860797</v>
      </c>
      <c r="AF28" s="334">
        <f t="shared" si="25"/>
        <v>-0.48658087259461297</v>
      </c>
      <c r="AH28">
        <f t="shared" si="26"/>
        <v>0</v>
      </c>
      <c r="AI28">
        <f t="shared" si="27"/>
        <v>0</v>
      </c>
    </row>
    <row r="29" spans="1:35" x14ac:dyDescent="0.25">
      <c r="A29" s="335">
        <v>4.3651999999999997</v>
      </c>
      <c r="B29" s="352">
        <f t="shared" si="28"/>
        <v>4.3651999999999996E-3</v>
      </c>
      <c r="C29" s="325">
        <f t="shared" si="0"/>
        <v>1.0000432229632998</v>
      </c>
      <c r="D29" s="326">
        <f t="shared" si="1"/>
        <v>9.2974627187630658E-3</v>
      </c>
      <c r="E29" s="326">
        <f t="shared" si="2"/>
        <v>1.0000000000601807</v>
      </c>
      <c r="F29" s="327">
        <f t="shared" si="3"/>
        <v>1.097094418818384E-5</v>
      </c>
      <c r="G29" s="326">
        <f t="shared" si="4"/>
        <v>1</v>
      </c>
      <c r="H29" s="327">
        <f t="shared" si="5"/>
        <v>0</v>
      </c>
      <c r="I29" s="325">
        <f t="shared" si="6"/>
        <v>1.7535026218758065</v>
      </c>
      <c r="J29" s="328">
        <f t="shared" si="7"/>
        <v>0.96394095608559638</v>
      </c>
      <c r="K29" s="336">
        <f t="shared" si="8"/>
        <v>1.0000005189936321</v>
      </c>
      <c r="L29" s="337">
        <f t="shared" si="9"/>
        <v>1.0188163795704316E-3</v>
      </c>
      <c r="M29" s="325">
        <f t="shared" si="10"/>
        <v>1.0000000007820502</v>
      </c>
      <c r="N29" s="337">
        <f t="shared" si="11"/>
        <v>3.9548711979380605E-5</v>
      </c>
      <c r="O29" s="343">
        <f t="shared" si="12"/>
        <v>1.0000000003217151</v>
      </c>
      <c r="P29" s="691">
        <f t="shared" si="13"/>
        <v>2.536592005307715E-5</v>
      </c>
      <c r="Q29" s="336">
        <f t="shared" si="29"/>
        <v>4.1565656602975984</v>
      </c>
      <c r="R29" s="692">
        <f t="shared" si="14"/>
        <v>4.2547595043018512E-5</v>
      </c>
      <c r="S29" s="329">
        <f t="shared" si="15"/>
        <v>0.99999999985588806</v>
      </c>
      <c r="T29" s="330">
        <f t="shared" si="16"/>
        <v>2.5259301669194843E-5</v>
      </c>
      <c r="U29" s="331">
        <f t="shared" si="17"/>
        <v>97.078491005847525</v>
      </c>
      <c r="V29" s="332">
        <f t="shared" si="18"/>
        <v>-55.708149116806425</v>
      </c>
      <c r="W29" s="334">
        <f t="shared" si="19"/>
        <v>124.29185088319358</v>
      </c>
      <c r="Y29" s="307">
        <f t="shared" si="20"/>
        <v>1000000000</v>
      </c>
      <c r="Z29" s="307">
        <f t="shared" si="21"/>
        <v>19.054971039999998</v>
      </c>
      <c r="AB29" s="333">
        <f t="shared" si="22"/>
        <v>92.829100510063711</v>
      </c>
      <c r="AC29" s="334">
        <f t="shared" si="23"/>
        <v>-55.173640642188587</v>
      </c>
      <c r="AE29" s="333">
        <f t="shared" si="24"/>
        <v>28.665283226362007</v>
      </c>
      <c r="AF29" s="334">
        <f t="shared" si="25"/>
        <v>-0.53352403715482777</v>
      </c>
      <c r="AH29">
        <f t="shared" si="26"/>
        <v>0</v>
      </c>
      <c r="AI29">
        <f t="shared" si="27"/>
        <v>0</v>
      </c>
    </row>
    <row r="30" spans="1:35" x14ac:dyDescent="0.25">
      <c r="A30" s="335">
        <v>4.7862999999999998</v>
      </c>
      <c r="B30" s="352">
        <f t="shared" si="28"/>
        <v>4.7862999999999994E-3</v>
      </c>
      <c r="C30" s="325">
        <f t="shared" si="0"/>
        <v>1.0000519641920813</v>
      </c>
      <c r="D30" s="326">
        <f t="shared" si="1"/>
        <v>1.0194306445272467E-2</v>
      </c>
      <c r="E30" s="326">
        <f t="shared" si="2"/>
        <v>1.0000000000723519</v>
      </c>
      <c r="F30" s="327">
        <f t="shared" si="3"/>
        <v>1.2029283919975773E-5</v>
      </c>
      <c r="G30" s="326">
        <f t="shared" si="4"/>
        <v>1</v>
      </c>
      <c r="H30" s="327">
        <f t="shared" si="5"/>
        <v>0</v>
      </c>
      <c r="I30" s="325">
        <f t="shared" si="6"/>
        <v>1.8693248310944108</v>
      </c>
      <c r="J30" s="328">
        <f t="shared" si="7"/>
        <v>1.0063447962695464</v>
      </c>
      <c r="K30" s="336">
        <f t="shared" si="8"/>
        <v>1.0000006239553973</v>
      </c>
      <c r="L30" s="337">
        <f t="shared" si="9"/>
        <v>1.1170989866024813E-3</v>
      </c>
      <c r="M30" s="325">
        <f t="shared" si="10"/>
        <v>1.0000000009402128</v>
      </c>
      <c r="N30" s="337">
        <f t="shared" si="11"/>
        <v>4.3363877972819139E-5</v>
      </c>
      <c r="O30" s="343">
        <f t="shared" si="12"/>
        <v>1.0000000003867788</v>
      </c>
      <c r="P30" s="691">
        <f t="shared" si="13"/>
        <v>2.7812907345545897E-5</v>
      </c>
      <c r="Q30" s="336">
        <f t="shared" si="29"/>
        <v>4.1565656610523503</v>
      </c>
      <c r="R30" s="692">
        <f t="shared" si="14"/>
        <v>4.6652055834749327E-5</v>
      </c>
      <c r="S30" s="329">
        <f t="shared" si="15"/>
        <v>0.99999999982674281</v>
      </c>
      <c r="T30" s="330">
        <f t="shared" si="16"/>
        <v>2.769600375364037E-5</v>
      </c>
      <c r="U30" s="331">
        <f t="shared" si="17"/>
        <v>96.522848886576327</v>
      </c>
      <c r="V30" s="332">
        <f t="shared" si="18"/>
        <v>-58.183856912643392</v>
      </c>
      <c r="W30" s="334">
        <f t="shared" si="19"/>
        <v>121.81614308735661</v>
      </c>
      <c r="Y30" s="307">
        <f t="shared" si="20"/>
        <v>1000000000</v>
      </c>
      <c r="Z30" s="307">
        <f t="shared" si="21"/>
        <v>22.908667689999998</v>
      </c>
      <c r="AB30" s="333">
        <f t="shared" si="22"/>
        <v>92.273534313180804</v>
      </c>
      <c r="AC30" s="334">
        <f t="shared" si="23"/>
        <v>-57.597789136973248</v>
      </c>
      <c r="AE30" s="333">
        <f t="shared" si="24"/>
        <v>28.665207304985767</v>
      </c>
      <c r="AF30" s="334">
        <f t="shared" si="25"/>
        <v>-0.58498837197085474</v>
      </c>
      <c r="AH30">
        <f t="shared" si="26"/>
        <v>0</v>
      </c>
      <c r="AI30">
        <f t="shared" si="27"/>
        <v>0</v>
      </c>
    </row>
    <row r="31" spans="1:35" x14ac:dyDescent="0.25">
      <c r="A31" s="335">
        <v>5.2481</v>
      </c>
      <c r="B31" s="352">
        <f t="shared" si="28"/>
        <v>5.2481000000000003E-3</v>
      </c>
      <c r="C31" s="325">
        <f t="shared" si="0"/>
        <v>1.0000624750004727</v>
      </c>
      <c r="D31" s="326">
        <f t="shared" si="1"/>
        <v>1.1177812669869348E-2</v>
      </c>
      <c r="E31" s="326">
        <f t="shared" si="2"/>
        <v>1.0000000000869869</v>
      </c>
      <c r="F31" s="327">
        <f t="shared" si="3"/>
        <v>1.3189913908407101E-5</v>
      </c>
      <c r="G31" s="326">
        <f t="shared" si="4"/>
        <v>1</v>
      </c>
      <c r="H31" s="327">
        <f t="shared" si="5"/>
        <v>0</v>
      </c>
      <c r="I31" s="325">
        <f t="shared" si="6"/>
        <v>1.9997322124494519</v>
      </c>
      <c r="J31" s="328">
        <f t="shared" si="7"/>
        <v>1.0471202355118479</v>
      </c>
      <c r="K31" s="336">
        <f t="shared" si="8"/>
        <v>1.0000007501668857</v>
      </c>
      <c r="L31" s="337">
        <f t="shared" si="9"/>
        <v>1.2248807425986252E-3</v>
      </c>
      <c r="M31" s="325">
        <f t="shared" si="10"/>
        <v>1.000000001130396</v>
      </c>
      <c r="N31" s="337">
        <f t="shared" si="11"/>
        <v>4.7547785964168115E-5</v>
      </c>
      <c r="O31" s="343">
        <f t="shared" si="12"/>
        <v>1.0000000004650151</v>
      </c>
      <c r="P31" s="691">
        <f t="shared" si="13"/>
        <v>3.0496399939942391E-5</v>
      </c>
      <c r="Q31" s="336">
        <f t="shared" si="29"/>
        <v>4.1565656619599034</v>
      </c>
      <c r="R31" s="692">
        <f t="shared" si="14"/>
        <v>5.1153219436904177E-5</v>
      </c>
      <c r="S31" s="329">
        <f t="shared" si="15"/>
        <v>0.99999999979169685</v>
      </c>
      <c r="T31" s="330">
        <f t="shared" si="16"/>
        <v>3.0368217058757874E-5</v>
      </c>
      <c r="U31" s="331">
        <f t="shared" si="17"/>
        <v>95.937017339929</v>
      </c>
      <c r="V31" s="332">
        <f t="shared" si="18"/>
        <v>-60.57072328030543</v>
      </c>
      <c r="W31" s="334">
        <f t="shared" si="19"/>
        <v>119.42927671969457</v>
      </c>
      <c r="Y31" s="307">
        <f t="shared" si="20"/>
        <v>1000000000</v>
      </c>
      <c r="Z31" s="307">
        <f t="shared" si="21"/>
        <v>27.542553609999999</v>
      </c>
      <c r="AB31" s="333">
        <f t="shared" si="22"/>
        <v>91.687794057816987</v>
      </c>
      <c r="AC31" s="334">
        <f t="shared" si="23"/>
        <v>-59.928113996554714</v>
      </c>
      <c r="AE31" s="333">
        <f t="shared" si="24"/>
        <v>28.665116014919199</v>
      </c>
      <c r="AF31" s="334">
        <f t="shared" si="25"/>
        <v>-0.64142573517401924</v>
      </c>
      <c r="AH31">
        <f t="shared" si="26"/>
        <v>0</v>
      </c>
      <c r="AI31">
        <f t="shared" si="27"/>
        <v>0</v>
      </c>
    </row>
    <row r="32" spans="1:35" x14ac:dyDescent="0.25">
      <c r="A32" s="335">
        <v>5.7544000000000004</v>
      </c>
      <c r="B32" s="352">
        <f t="shared" si="28"/>
        <v>5.7544000000000007E-3</v>
      </c>
      <c r="C32" s="325">
        <f t="shared" si="0"/>
        <v>1.0000751102859915</v>
      </c>
      <c r="D32" s="326">
        <f t="shared" si="1"/>
        <v>1.2256066660800124E-2</v>
      </c>
      <c r="E32" s="326">
        <f t="shared" si="2"/>
        <v>1.0000000001045803</v>
      </c>
      <c r="F32" s="327">
        <f t="shared" si="3"/>
        <v>1.4462384595119682E-5</v>
      </c>
      <c r="G32" s="326">
        <f t="shared" si="4"/>
        <v>1</v>
      </c>
      <c r="H32" s="327">
        <f t="shared" si="5"/>
        <v>0</v>
      </c>
      <c r="I32" s="325">
        <f t="shared" si="6"/>
        <v>2.1460362235621826</v>
      </c>
      <c r="J32" s="328">
        <f t="shared" si="7"/>
        <v>1.0860596824434738</v>
      </c>
      <c r="K32" s="336">
        <f t="shared" si="8"/>
        <v>1.0000009018903655</v>
      </c>
      <c r="L32" s="337">
        <f t="shared" si="9"/>
        <v>1.34304853799776E-3</v>
      </c>
      <c r="M32" s="325">
        <f t="shared" si="10"/>
        <v>1.000000001359022</v>
      </c>
      <c r="N32" s="337">
        <f t="shared" si="11"/>
        <v>5.2134863952765048E-5</v>
      </c>
      <c r="O32" s="343">
        <f t="shared" si="12"/>
        <v>1.0000000005590659</v>
      </c>
      <c r="P32" s="691">
        <f t="shared" si="13"/>
        <v>3.3438479412244672E-5</v>
      </c>
      <c r="Q32" s="336">
        <f t="shared" si="29"/>
        <v>4.1565656630509062</v>
      </c>
      <c r="R32" s="692">
        <f t="shared" si="14"/>
        <v>5.6088124440544812E-5</v>
      </c>
      <c r="S32" s="329">
        <f t="shared" si="15"/>
        <v>0.99999999974956699</v>
      </c>
      <c r="T32" s="330">
        <f t="shared" si="16"/>
        <v>3.329793034730875E-5</v>
      </c>
      <c r="U32" s="331">
        <f t="shared" si="17"/>
        <v>95.3236047971007</v>
      </c>
      <c r="V32" s="332">
        <f t="shared" si="18"/>
        <v>-62.857270089354728</v>
      </c>
      <c r="W32" s="334">
        <f t="shared" si="19"/>
        <v>117.14272991064527</v>
      </c>
      <c r="Y32" s="307">
        <f t="shared" si="20"/>
        <v>1000000000</v>
      </c>
      <c r="Z32" s="307">
        <f t="shared" si="21"/>
        <v>33.113119360000006</v>
      </c>
      <c r="AB32" s="333">
        <f t="shared" si="22"/>
        <v>91.074491257079046</v>
      </c>
      <c r="AC32" s="334">
        <f t="shared" si="23"/>
        <v>-62.152672269110759</v>
      </c>
      <c r="AE32" s="333">
        <f t="shared" si="24"/>
        <v>28.66500627429177</v>
      </c>
      <c r="AF32" s="334">
        <f t="shared" si="25"/>
        <v>-0.70330009117490655</v>
      </c>
      <c r="AH32">
        <f t="shared" si="26"/>
        <v>0</v>
      </c>
      <c r="AI32">
        <f t="shared" si="27"/>
        <v>0</v>
      </c>
    </row>
    <row r="33" spans="1:35" x14ac:dyDescent="0.25">
      <c r="A33" s="335">
        <v>6.3095999999999997</v>
      </c>
      <c r="B33" s="352">
        <f t="shared" si="28"/>
        <v>6.3095999999999994E-3</v>
      </c>
      <c r="C33" s="325">
        <f t="shared" si="0"/>
        <v>1.0000903024800498</v>
      </c>
      <c r="D33" s="326">
        <f t="shared" si="1"/>
        <v>1.3438428860925788E-2</v>
      </c>
      <c r="E33" s="326">
        <f t="shared" si="2"/>
        <v>1.0000000001257341</v>
      </c>
      <c r="F33" s="327">
        <f t="shared" si="3"/>
        <v>1.5857754386222758E-5</v>
      </c>
      <c r="G33" s="326">
        <f t="shared" si="4"/>
        <v>1</v>
      </c>
      <c r="H33" s="327">
        <f t="shared" si="5"/>
        <v>0</v>
      </c>
      <c r="I33" s="325">
        <f t="shared" si="6"/>
        <v>2.3097111648683528</v>
      </c>
      <c r="J33" s="328">
        <f t="shared" si="7"/>
        <v>1.1230284224330613</v>
      </c>
      <c r="K33" s="336">
        <f t="shared" si="8"/>
        <v>1.0000010843195024</v>
      </c>
      <c r="L33" s="337">
        <f t="shared" si="9"/>
        <v>1.4726292966662773E-3</v>
      </c>
      <c r="M33" s="325">
        <f t="shared" si="10"/>
        <v>1.0000000016339172</v>
      </c>
      <c r="N33" s="337">
        <f t="shared" si="11"/>
        <v>5.7164975937731437E-5</v>
      </c>
      <c r="O33" s="343">
        <f t="shared" si="12"/>
        <v>1.0000000006721506</v>
      </c>
      <c r="P33" s="691">
        <f t="shared" si="13"/>
        <v>3.6664713903029506E-5</v>
      </c>
      <c r="Q33" s="336">
        <f t="shared" si="29"/>
        <v>4.1565656643627058</v>
      </c>
      <c r="R33" s="692">
        <f t="shared" si="14"/>
        <v>6.1499657635184538E-5</v>
      </c>
      <c r="S33" s="329">
        <f t="shared" si="15"/>
        <v>0.99999999969891074</v>
      </c>
      <c r="T33" s="330">
        <f t="shared" si="16"/>
        <v>3.6510604291998318E-5</v>
      </c>
      <c r="U33" s="331">
        <f t="shared" si="17"/>
        <v>94.685061923162635</v>
      </c>
      <c r="V33" s="332">
        <f t="shared" si="18"/>
        <v>-65.036260336947677</v>
      </c>
      <c r="W33" s="334">
        <f t="shared" si="19"/>
        <v>114.96373966305232</v>
      </c>
      <c r="Y33" s="307">
        <f t="shared" si="20"/>
        <v>1000000000</v>
      </c>
      <c r="Z33" s="307">
        <f t="shared" si="21"/>
        <v>39.811052159999996</v>
      </c>
      <c r="AB33" s="333">
        <f t="shared" si="22"/>
        <v>90.436080331084383</v>
      </c>
      <c r="AC33" s="334">
        <f t="shared" si="23"/>
        <v>-64.263688820452231</v>
      </c>
      <c r="AE33" s="333">
        <f t="shared" si="24"/>
        <v>28.664874328107395</v>
      </c>
      <c r="AF33" s="334">
        <f t="shared" si="25"/>
        <v>-0.77114857903352974</v>
      </c>
      <c r="AH33">
        <f t="shared" si="26"/>
        <v>0</v>
      </c>
      <c r="AI33">
        <f t="shared" si="27"/>
        <v>0</v>
      </c>
    </row>
    <row r="34" spans="1:35" x14ac:dyDescent="0.25">
      <c r="A34" s="335">
        <v>6.9183000000000003</v>
      </c>
      <c r="B34" s="352">
        <f t="shared" si="28"/>
        <v>6.9183000000000005E-3</v>
      </c>
      <c r="C34" s="325">
        <f t="shared" si="0"/>
        <v>1.0001085652502366</v>
      </c>
      <c r="D34" s="326">
        <f t="shared" si="1"/>
        <v>1.4734682157076606E-2</v>
      </c>
      <c r="E34" s="326">
        <f t="shared" si="2"/>
        <v>1.000000000151164</v>
      </c>
      <c r="F34" s="327">
        <f t="shared" si="3"/>
        <v>1.7387584342643752E-5</v>
      </c>
      <c r="G34" s="326">
        <f t="shared" si="4"/>
        <v>1</v>
      </c>
      <c r="H34" s="327">
        <f t="shared" si="5"/>
        <v>0</v>
      </c>
      <c r="I34" s="325">
        <f t="shared" si="6"/>
        <v>2.4922833098317021</v>
      </c>
      <c r="J34" s="328">
        <f t="shared" si="7"/>
        <v>1.1579277746826782</v>
      </c>
      <c r="K34" s="336">
        <f t="shared" si="8"/>
        <v>1.0000013036239985</v>
      </c>
      <c r="L34" s="337">
        <f t="shared" si="9"/>
        <v>1.6146966168375555E-3</v>
      </c>
      <c r="M34" s="325">
        <f t="shared" si="10"/>
        <v>1.0000000019643784</v>
      </c>
      <c r="N34" s="337">
        <f t="shared" si="11"/>
        <v>6.267979791791543E-5</v>
      </c>
      <c r="O34" s="343">
        <f t="shared" si="12"/>
        <v>1.0000000008080936</v>
      </c>
      <c r="P34" s="691">
        <f t="shared" si="13"/>
        <v>4.0201833741020095E-5</v>
      </c>
      <c r="Q34" s="336">
        <f t="shared" si="29"/>
        <v>4.1565656659396666</v>
      </c>
      <c r="R34" s="692">
        <f t="shared" si="14"/>
        <v>6.7432655209572959E-5</v>
      </c>
      <c r="S34" s="329">
        <f t="shared" si="15"/>
        <v>0.99999999963801522</v>
      </c>
      <c r="T34" s="330">
        <f t="shared" si="16"/>
        <v>4.0032856868908272E-5</v>
      </c>
      <c r="U34" s="331">
        <f t="shared" si="17"/>
        <v>94.024110502052807</v>
      </c>
      <c r="V34" s="332">
        <f t="shared" si="18"/>
        <v>-67.102543323262921</v>
      </c>
      <c r="W34" s="334">
        <f t="shared" si="19"/>
        <v>112.89745667673708</v>
      </c>
      <c r="Y34" s="307">
        <f t="shared" si="20"/>
        <v>1000000000</v>
      </c>
      <c r="Z34" s="307">
        <f t="shared" si="21"/>
        <v>47.862874890000008</v>
      </c>
      <c r="AB34" s="333">
        <f t="shared" si="22"/>
        <v>89.775287523974157</v>
      </c>
      <c r="AC34" s="334">
        <f t="shared" si="23"/>
        <v>-66.255450532543264</v>
      </c>
      <c r="AE34" s="333">
        <f t="shared" si="24"/>
        <v>28.664715716222343</v>
      </c>
      <c r="AF34" s="334">
        <f t="shared" si="25"/>
        <v>-0.84553257957504968</v>
      </c>
      <c r="AH34">
        <f t="shared" si="26"/>
        <v>0</v>
      </c>
      <c r="AI34">
        <f t="shared" si="27"/>
        <v>0</v>
      </c>
    </row>
    <row r="35" spans="1:35" x14ac:dyDescent="0.25">
      <c r="A35" s="335">
        <v>7.5857999999999999</v>
      </c>
      <c r="B35" s="352">
        <f t="shared" si="28"/>
        <v>7.5858000000000002E-3</v>
      </c>
      <c r="C35" s="325">
        <f t="shared" si="0"/>
        <v>1.0001305239070704</v>
      </c>
      <c r="D35" s="326">
        <f t="shared" si="1"/>
        <v>1.6156095541698709E-2</v>
      </c>
      <c r="E35" s="326">
        <f t="shared" si="2"/>
        <v>1.0000000001817408</v>
      </c>
      <c r="F35" s="327">
        <f t="shared" si="3"/>
        <v>1.9065194817186049E-5</v>
      </c>
      <c r="G35" s="326">
        <f t="shared" si="4"/>
        <v>1</v>
      </c>
      <c r="H35" s="327">
        <f t="shared" si="5"/>
        <v>0</v>
      </c>
      <c r="I35" s="325">
        <f t="shared" si="6"/>
        <v>2.6954832605416152</v>
      </c>
      <c r="J35" s="328">
        <f t="shared" si="7"/>
        <v>1.190720389359023</v>
      </c>
      <c r="K35" s="336">
        <f t="shared" si="8"/>
        <v>1.0000015673149825</v>
      </c>
      <c r="L35" s="337">
        <f t="shared" si="9"/>
        <v>1.7704874669715706E-3</v>
      </c>
      <c r="M35" s="325">
        <f t="shared" si="10"/>
        <v>1.0000000023617241</v>
      </c>
      <c r="N35" s="337">
        <f t="shared" si="11"/>
        <v>6.8727347891789969E-5</v>
      </c>
      <c r="O35" s="343">
        <f t="shared" si="12"/>
        <v>1.0000000009715513</v>
      </c>
      <c r="P35" s="691">
        <f t="shared" si="13"/>
        <v>4.4080636913605635E-5</v>
      </c>
      <c r="Q35" s="336">
        <f t="shared" si="29"/>
        <v>4.1565656678357987</v>
      </c>
      <c r="R35" s="692">
        <f t="shared" si="14"/>
        <v>7.3938776250501644E-5</v>
      </c>
      <c r="S35" s="329">
        <f t="shared" si="15"/>
        <v>0.99999999956479457</v>
      </c>
      <c r="T35" s="330">
        <f t="shared" si="16"/>
        <v>4.3895356615759308E-5</v>
      </c>
      <c r="U35" s="331">
        <f t="shared" si="17"/>
        <v>93.343137479945653</v>
      </c>
      <c r="V35" s="332">
        <f t="shared" si="18"/>
        <v>-69.054558793578764</v>
      </c>
      <c r="W35" s="334">
        <f t="shared" si="19"/>
        <v>110.94544120642124</v>
      </c>
      <c r="Y35" s="307">
        <f t="shared" si="20"/>
        <v>1000000000</v>
      </c>
      <c r="Z35" s="307">
        <f t="shared" si="21"/>
        <v>57.544361639999998</v>
      </c>
      <c r="AB35" s="333">
        <f t="shared" si="22"/>
        <v>89.094505211179751</v>
      </c>
      <c r="AC35" s="334">
        <f t="shared" si="23"/>
        <v>-68.125749295724191</v>
      </c>
      <c r="AE35" s="333">
        <f t="shared" si="24"/>
        <v>28.664525009452117</v>
      </c>
      <c r="AF35" s="334">
        <f t="shared" si="25"/>
        <v>-0.92709875248451157</v>
      </c>
      <c r="AH35">
        <f t="shared" si="26"/>
        <v>0</v>
      </c>
      <c r="AI35">
        <f t="shared" si="27"/>
        <v>0</v>
      </c>
    </row>
    <row r="36" spans="1:35" x14ac:dyDescent="0.25">
      <c r="A36" s="335">
        <v>8.3176000000000005</v>
      </c>
      <c r="B36" s="352">
        <f t="shared" si="28"/>
        <v>8.3176000000000014E-3</v>
      </c>
      <c r="C36" s="325">
        <f t="shared" si="0"/>
        <v>1.0001569197542393</v>
      </c>
      <c r="D36" s="326">
        <f t="shared" si="1"/>
        <v>1.7714357857144522E-2</v>
      </c>
      <c r="E36" s="326">
        <f t="shared" si="2"/>
        <v>1.0000000002184972</v>
      </c>
      <c r="F36" s="327">
        <f t="shared" si="3"/>
        <v>2.0904408817466969E-5</v>
      </c>
      <c r="G36" s="326">
        <f t="shared" si="4"/>
        <v>1</v>
      </c>
      <c r="H36" s="327">
        <f t="shared" si="5"/>
        <v>0</v>
      </c>
      <c r="I36" s="325">
        <f t="shared" si="6"/>
        <v>2.9211004178969566</v>
      </c>
      <c r="J36" s="328">
        <f t="shared" si="7"/>
        <v>1.2213935385002588</v>
      </c>
      <c r="K36" s="336">
        <f t="shared" si="8"/>
        <v>1.0000018842976288</v>
      </c>
      <c r="L36" s="337">
        <f t="shared" si="9"/>
        <v>1.9412854864772407E-3</v>
      </c>
      <c r="M36" s="325">
        <f t="shared" si="10"/>
        <v>1.000000002839373</v>
      </c>
      <c r="N36" s="337">
        <f t="shared" si="11"/>
        <v>7.5357455857354716E-5</v>
      </c>
      <c r="O36" s="343">
        <f t="shared" si="12"/>
        <v>1.0000000011680434</v>
      </c>
      <c r="P36" s="691">
        <f t="shared" si="13"/>
        <v>4.8333083596269033E-5</v>
      </c>
      <c r="Q36" s="336">
        <f t="shared" si="29"/>
        <v>4.1565656701151381</v>
      </c>
      <c r="R36" s="692">
        <f t="shared" si="14"/>
        <v>8.1071629243752519E-5</v>
      </c>
      <c r="S36" s="329">
        <f t="shared" si="15"/>
        <v>0.99999999947677609</v>
      </c>
      <c r="T36" s="330">
        <f t="shared" si="16"/>
        <v>4.8129929373709873E-5</v>
      </c>
      <c r="U36" s="331">
        <f t="shared" si="17"/>
        <v>92.644714033942392</v>
      </c>
      <c r="V36" s="332">
        <f t="shared" si="18"/>
        <v>-70.892178790505412</v>
      </c>
      <c r="W36" s="334">
        <f t="shared" si="19"/>
        <v>109.10782120949459</v>
      </c>
      <c r="Y36" s="307">
        <f t="shared" si="20"/>
        <v>1000000000</v>
      </c>
      <c r="Z36" s="307">
        <f t="shared" si="21"/>
        <v>69.182469760000004</v>
      </c>
      <c r="AB36" s="333">
        <f t="shared" si="22"/>
        <v>88.396311005617946</v>
      </c>
      <c r="AC36" s="334">
        <f t="shared" si="23"/>
        <v>-69.873785159427015</v>
      </c>
      <c r="AE36" s="333">
        <f t="shared" si="24"/>
        <v>28.664295772067049</v>
      </c>
      <c r="AF36" s="334">
        <f t="shared" si="25"/>
        <v>-1.0165178505832502</v>
      </c>
      <c r="AH36">
        <f t="shared" si="26"/>
        <v>0</v>
      </c>
      <c r="AI36">
        <f t="shared" si="27"/>
        <v>0</v>
      </c>
    </row>
    <row r="37" spans="1:35" x14ac:dyDescent="0.25">
      <c r="A37" s="335">
        <v>9.1201000000000008</v>
      </c>
      <c r="B37" s="352">
        <f t="shared" si="28"/>
        <v>9.1201000000000008E-3</v>
      </c>
      <c r="C37" s="325">
        <f t="shared" si="0"/>
        <v>1.0001886574095313</v>
      </c>
      <c r="D37" s="326">
        <f t="shared" si="1"/>
        <v>1.9423066422359577E-2</v>
      </c>
      <c r="E37" s="326">
        <f t="shared" si="2"/>
        <v>1.0000000002626932</v>
      </c>
      <c r="F37" s="327">
        <f t="shared" si="3"/>
        <v>2.2921311297797821E-5</v>
      </c>
      <c r="G37" s="326">
        <f t="shared" si="4"/>
        <v>1</v>
      </c>
      <c r="H37" s="327">
        <f t="shared" si="5"/>
        <v>0</v>
      </c>
      <c r="I37" s="325">
        <f t="shared" si="6"/>
        <v>3.1712010704625926</v>
      </c>
      <c r="J37" s="328">
        <f t="shared" si="7"/>
        <v>1.2499835892135682</v>
      </c>
      <c r="K37" s="336">
        <f t="shared" si="8"/>
        <v>1.0000022654399641</v>
      </c>
      <c r="L37" s="337">
        <f t="shared" si="9"/>
        <v>2.1285843592562981E-3</v>
      </c>
      <c r="M37" s="325">
        <f t="shared" si="10"/>
        <v>1.000000003413702</v>
      </c>
      <c r="N37" s="337">
        <f t="shared" si="11"/>
        <v>8.2628105811954856E-5</v>
      </c>
      <c r="O37" s="343">
        <f t="shared" si="12"/>
        <v>1.0000000014043073</v>
      </c>
      <c r="P37" s="691">
        <f t="shared" si="13"/>
        <v>5.2996363811304073E-5</v>
      </c>
      <c r="Q37" s="336">
        <f t="shared" si="29"/>
        <v>4.1565656728558338</v>
      </c>
      <c r="R37" s="692">
        <f t="shared" si="14"/>
        <v>8.889359497237843E-5</v>
      </c>
      <c r="S37" s="329">
        <f t="shared" si="15"/>
        <v>0.99999999937094186</v>
      </c>
      <c r="T37" s="330">
        <f t="shared" si="16"/>
        <v>5.2773608848935587E-5</v>
      </c>
      <c r="U37" s="331">
        <f t="shared" si="17"/>
        <v>91.930895864033104</v>
      </c>
      <c r="V37" s="332">
        <f t="shared" si="18"/>
        <v>-72.618186448843119</v>
      </c>
      <c r="W37" s="334">
        <f t="shared" si="19"/>
        <v>107.38181355115688</v>
      </c>
      <c r="Y37" s="307">
        <f t="shared" si="20"/>
        <v>1000000000</v>
      </c>
      <c r="Z37" s="307">
        <f t="shared" si="21"/>
        <v>83.176224010000013</v>
      </c>
      <c r="AB37" s="333">
        <f t="shared" si="22"/>
        <v>87.682768460227422</v>
      </c>
      <c r="AC37" s="334">
        <f t="shared" si="23"/>
        <v>-71.501559545863557</v>
      </c>
      <c r="AE37" s="333">
        <f t="shared" si="24"/>
        <v>28.664020151223291</v>
      </c>
      <c r="AF37" s="334">
        <f t="shared" si="25"/>
        <v>-1.114570143135498</v>
      </c>
      <c r="AH37">
        <f t="shared" si="26"/>
        <v>0</v>
      </c>
      <c r="AI37">
        <f t="shared" si="27"/>
        <v>0</v>
      </c>
    </row>
    <row r="38" spans="1:35" x14ac:dyDescent="0.25">
      <c r="A38" s="335">
        <v>10</v>
      </c>
      <c r="B38" s="352">
        <f t="shared" si="28"/>
        <v>0.01</v>
      </c>
      <c r="C38" s="325">
        <f t="shared" si="0"/>
        <v>1.0002268121847253</v>
      </c>
      <c r="D38" s="326">
        <f t="shared" si="1"/>
        <v>2.12964468029266E-2</v>
      </c>
      <c r="E38" s="326">
        <f t="shared" si="2"/>
        <v>1.0000000003158274</v>
      </c>
      <c r="F38" s="327">
        <f t="shared" si="3"/>
        <v>2.5132741194708266E-5</v>
      </c>
      <c r="G38" s="326">
        <f t="shared" si="4"/>
        <v>1</v>
      </c>
      <c r="H38" s="327">
        <f t="shared" si="5"/>
        <v>0</v>
      </c>
      <c r="I38" s="325">
        <f t="shared" si="6"/>
        <v>3.4479482893282469</v>
      </c>
      <c r="J38" s="328">
        <f t="shared" si="7"/>
        <v>1.2765407002916103</v>
      </c>
      <c r="K38" s="336">
        <f t="shared" si="8"/>
        <v>1.0000027236622868</v>
      </c>
      <c r="L38" s="337">
        <f t="shared" si="9"/>
        <v>2.3339477736146978E-3</v>
      </c>
      <c r="M38" s="325">
        <f t="shared" si="10"/>
        <v>1.0000000041041799</v>
      </c>
      <c r="N38" s="337">
        <f t="shared" si="11"/>
        <v>9.0599999752107521E-5</v>
      </c>
      <c r="O38" s="343">
        <f t="shared" si="12"/>
        <v>1.0000000016883517</v>
      </c>
      <c r="P38" s="691">
        <f t="shared" si="13"/>
        <v>5.8109410863113912E-5</v>
      </c>
      <c r="Q38" s="336">
        <f t="shared" si="29"/>
        <v>4.1565656761507928</v>
      </c>
      <c r="R38" s="692">
        <f t="shared" si="14"/>
        <v>9.7469978317772332E-5</v>
      </c>
      <c r="S38" s="329">
        <f t="shared" si="15"/>
        <v>0.99999999924370442</v>
      </c>
      <c r="T38" s="330">
        <f t="shared" si="16"/>
        <v>5.7865164702804938E-5</v>
      </c>
      <c r="U38" s="331">
        <f t="shared" si="17"/>
        <v>91.203829206766912</v>
      </c>
      <c r="V38" s="332">
        <f t="shared" si="18"/>
        <v>-74.236187373335824</v>
      </c>
      <c r="W38" s="334">
        <f t="shared" si="19"/>
        <v>105.76381262666418</v>
      </c>
      <c r="Y38" s="307">
        <f t="shared" si="20"/>
        <v>1000000000</v>
      </c>
      <c r="Z38" s="307">
        <f t="shared" si="21"/>
        <v>100</v>
      </c>
      <c r="AB38" s="333">
        <f t="shared" si="22"/>
        <v>86.956033145148623</v>
      </c>
      <c r="AC38" s="334">
        <f t="shared" si="23"/>
        <v>-73.011860227389619</v>
      </c>
      <c r="AE38" s="333">
        <f t="shared" si="24"/>
        <v>28.663688813454151</v>
      </c>
      <c r="AF38" s="334">
        <f t="shared" si="25"/>
        <v>-1.2220719515492389</v>
      </c>
      <c r="AH38">
        <f t="shared" si="26"/>
        <v>0</v>
      </c>
      <c r="AI38">
        <f t="shared" si="27"/>
        <v>0</v>
      </c>
    </row>
    <row r="39" spans="1:35" x14ac:dyDescent="0.25">
      <c r="A39" s="335">
        <v>10.965</v>
      </c>
      <c r="B39" s="352">
        <f t="shared" si="28"/>
        <v>1.0964999999999999E-2</v>
      </c>
      <c r="C39" s="325">
        <f t="shared" si="0"/>
        <v>1.0002726928131951</v>
      </c>
      <c r="D39" s="326">
        <f t="shared" si="1"/>
        <v>2.3350839805139759E-2</v>
      </c>
      <c r="E39" s="326">
        <f t="shared" si="2"/>
        <v>1.0000000003797229</v>
      </c>
      <c r="F39" s="327">
        <f t="shared" si="3"/>
        <v>2.7558050718823716E-5</v>
      </c>
      <c r="G39" s="326">
        <f t="shared" si="4"/>
        <v>1</v>
      </c>
      <c r="H39" s="327">
        <f t="shared" si="5"/>
        <v>0</v>
      </c>
      <c r="I39" s="325">
        <f t="shared" si="6"/>
        <v>3.7538238462063127</v>
      </c>
      <c r="J39" s="328">
        <f t="shared" si="7"/>
        <v>1.301145366950283</v>
      </c>
      <c r="K39" s="336">
        <f t="shared" si="8"/>
        <v>1.0000032746916303</v>
      </c>
      <c r="L39" s="337">
        <f t="shared" si="9"/>
        <v>2.5591727936508752E-3</v>
      </c>
      <c r="M39" s="325">
        <f t="shared" si="10"/>
        <v>1.0000000049345059</v>
      </c>
      <c r="N39" s="337">
        <f t="shared" si="11"/>
        <v>9.9342899673194584E-5</v>
      </c>
      <c r="O39" s="343">
        <f t="shared" si="12"/>
        <v>1.000000002029926</v>
      </c>
      <c r="P39" s="691">
        <f t="shared" si="13"/>
        <v>6.3716968996895023E-5</v>
      </c>
      <c r="Q39" s="336">
        <f t="shared" si="29"/>
        <v>4.1565656801131068</v>
      </c>
      <c r="R39" s="692">
        <f t="shared" si="14"/>
        <v>1.0687583115779298E-4</v>
      </c>
      <c r="S39" s="329">
        <f t="shared" si="15"/>
        <v>0.99999999909069659</v>
      </c>
      <c r="T39" s="330">
        <f t="shared" si="16"/>
        <v>6.3449153113497435E-5</v>
      </c>
      <c r="U39" s="331">
        <f t="shared" si="17"/>
        <v>90.46517266803356</v>
      </c>
      <c r="V39" s="332">
        <f t="shared" si="18"/>
        <v>-75.751634072826121</v>
      </c>
      <c r="W39" s="334">
        <f t="shared" si="19"/>
        <v>104.24836592717388</v>
      </c>
      <c r="Y39" s="307">
        <f t="shared" si="20"/>
        <v>1000000000</v>
      </c>
      <c r="Z39" s="307">
        <f t="shared" si="21"/>
        <v>120.23122499999999</v>
      </c>
      <c r="AB39" s="333">
        <f t="shared" si="22"/>
        <v>86.217775024414806</v>
      </c>
      <c r="AC39" s="334">
        <f t="shared" si="23"/>
        <v>-74.409200273031871</v>
      </c>
      <c r="AE39" s="333">
        <f t="shared" si="24"/>
        <v>28.6632904007677</v>
      </c>
      <c r="AF39" s="334">
        <f t="shared" si="25"/>
        <v>-1.339960979141009</v>
      </c>
      <c r="AH39">
        <f t="shared" si="26"/>
        <v>0</v>
      </c>
      <c r="AI39">
        <f t="shared" si="27"/>
        <v>0</v>
      </c>
    </row>
    <row r="40" spans="1:35" x14ac:dyDescent="0.25">
      <c r="A40" s="335">
        <v>12.023</v>
      </c>
      <c r="B40" s="352">
        <f t="shared" si="28"/>
        <v>1.2022999999999999E-2</v>
      </c>
      <c r="C40" s="325">
        <f t="shared" si="0"/>
        <v>1.0003278461891718</v>
      </c>
      <c r="D40" s="326">
        <f t="shared" si="1"/>
        <v>2.5602993768422681E-2</v>
      </c>
      <c r="E40" s="326">
        <f t="shared" si="2"/>
        <v>1.0000000004565364</v>
      </c>
      <c r="F40" s="327">
        <f t="shared" si="3"/>
        <v>3.0217094735563201E-5</v>
      </c>
      <c r="G40" s="326">
        <f t="shared" si="4"/>
        <v>1</v>
      </c>
      <c r="H40" s="327">
        <f t="shared" si="5"/>
        <v>0</v>
      </c>
      <c r="I40" s="325">
        <f t="shared" si="6"/>
        <v>4.091378929102965</v>
      </c>
      <c r="J40" s="328">
        <f t="shared" si="7"/>
        <v>1.3238785614128652</v>
      </c>
      <c r="K40" s="336">
        <f t="shared" si="8"/>
        <v>1.0000039371203284</v>
      </c>
      <c r="L40" s="337">
        <f t="shared" si="9"/>
        <v>2.8061031381626314E-3</v>
      </c>
      <c r="M40" s="325">
        <f t="shared" si="10"/>
        <v>1.0000000059326959</v>
      </c>
      <c r="N40" s="337">
        <f t="shared" si="11"/>
        <v>1.0892837956917402E-4</v>
      </c>
      <c r="O40" s="343">
        <f t="shared" si="12"/>
        <v>1.0000000024405551</v>
      </c>
      <c r="P40" s="691">
        <f t="shared" si="13"/>
        <v>6.9864944645686754E-5</v>
      </c>
      <c r="Q40" s="336">
        <f t="shared" si="29"/>
        <v>4.156565684876468</v>
      </c>
      <c r="R40" s="692">
        <f t="shared" si="14"/>
        <v>1.1718815476812008E-4</v>
      </c>
      <c r="S40" s="329">
        <f t="shared" si="15"/>
        <v>0.99999999890675573</v>
      </c>
      <c r="T40" s="330">
        <f t="shared" si="16"/>
        <v>6.9571287562921909E-5</v>
      </c>
      <c r="U40" s="331">
        <f t="shared" si="17"/>
        <v>89.716783189865367</v>
      </c>
      <c r="V40" s="332">
        <f t="shared" si="18"/>
        <v>-77.17002724990968</v>
      </c>
      <c r="W40" s="334">
        <f t="shared" si="19"/>
        <v>102.82997275009032</v>
      </c>
      <c r="Y40" s="307">
        <f t="shared" si="20"/>
        <v>1000000000</v>
      </c>
      <c r="Z40" s="307">
        <f t="shared" si="21"/>
        <v>144.55252899999999</v>
      </c>
      <c r="AB40" s="333">
        <f t="shared" si="22"/>
        <v>85.469864462703185</v>
      </c>
      <c r="AC40" s="334">
        <f t="shared" si="23"/>
        <v>-75.698117513029231</v>
      </c>
      <c r="AE40" s="333">
        <f t="shared" si="24"/>
        <v>28.662811490698328</v>
      </c>
      <c r="AF40" s="334">
        <f t="shared" si="25"/>
        <v>-1.4691983166643221</v>
      </c>
      <c r="AH40">
        <f t="shared" si="26"/>
        <v>0</v>
      </c>
      <c r="AI40">
        <f t="shared" si="27"/>
        <v>0</v>
      </c>
    </row>
    <row r="41" spans="1:35" x14ac:dyDescent="0.25">
      <c r="A41" s="335">
        <v>13.183</v>
      </c>
      <c r="B41" s="352">
        <f t="shared" si="28"/>
        <v>1.3183E-2</v>
      </c>
      <c r="C41" s="325">
        <f t="shared" si="0"/>
        <v>1.0003941472994651</v>
      </c>
      <c r="D41" s="326">
        <f t="shared" si="1"/>
        <v>2.807197474045987E-2</v>
      </c>
      <c r="E41" s="326">
        <f t="shared" si="2"/>
        <v>1.0000000005488809</v>
      </c>
      <c r="F41" s="327">
        <f t="shared" si="3"/>
        <v>3.3132492711836135E-5</v>
      </c>
      <c r="G41" s="326">
        <f t="shared" si="4"/>
        <v>1</v>
      </c>
      <c r="H41" s="327">
        <f t="shared" si="5"/>
        <v>0</v>
      </c>
      <c r="I41" s="325">
        <f t="shared" si="6"/>
        <v>4.4635211531003733</v>
      </c>
      <c r="J41" s="328">
        <f t="shared" si="7"/>
        <v>1.3448401154326253</v>
      </c>
      <c r="K41" s="336">
        <f t="shared" si="8"/>
        <v>1.000004733488487</v>
      </c>
      <c r="L41" s="337">
        <f t="shared" si="9"/>
        <v>3.0768392273567047E-3</v>
      </c>
      <c r="M41" s="325">
        <f t="shared" si="10"/>
        <v>1.0000000071327155</v>
      </c>
      <c r="N41" s="337">
        <f t="shared" si="11"/>
        <v>1.1943797943205524E-4</v>
      </c>
      <c r="O41" s="343">
        <f t="shared" si="12"/>
        <v>1.0000000029342118</v>
      </c>
      <c r="P41" s="691">
        <f t="shared" si="13"/>
        <v>7.6605636277216478E-5</v>
      </c>
      <c r="Q41" s="336">
        <f t="shared" si="29"/>
        <v>4.1565656906029576</v>
      </c>
      <c r="R41" s="692">
        <f t="shared" si="14"/>
        <v>1.2849467211968491E-4</v>
      </c>
      <c r="S41" s="329">
        <f t="shared" si="15"/>
        <v>0.99999999868562273</v>
      </c>
      <c r="T41" s="330">
        <f t="shared" si="16"/>
        <v>7.6283646701694082E-5</v>
      </c>
      <c r="U41" s="331">
        <f t="shared" si="17"/>
        <v>88.960056553386252</v>
      </c>
      <c r="V41" s="332">
        <f t="shared" si="18"/>
        <v>-78.498067291027894</v>
      </c>
      <c r="W41" s="334">
        <f t="shared" si="19"/>
        <v>101.50193270897211</v>
      </c>
      <c r="Y41" s="307">
        <f t="shared" si="20"/>
        <v>1000000000</v>
      </c>
      <c r="Z41" s="307">
        <f t="shared" si="21"/>
        <v>173.79148899999998</v>
      </c>
      <c r="AB41" s="333">
        <f t="shared" si="22"/>
        <v>84.713713507489757</v>
      </c>
      <c r="AC41" s="334">
        <f t="shared" si="23"/>
        <v>-76.88421621219608</v>
      </c>
      <c r="AE41" s="333">
        <f t="shared" si="24"/>
        <v>28.662235817111331</v>
      </c>
      <c r="AF41" s="334">
        <f t="shared" si="25"/>
        <v>-1.6108780560716396</v>
      </c>
      <c r="AH41">
        <f t="shared" si="26"/>
        <v>0</v>
      </c>
      <c r="AI41">
        <f t="shared" si="27"/>
        <v>0</v>
      </c>
    </row>
    <row r="42" spans="1:35" x14ac:dyDescent="0.25">
      <c r="A42" s="335">
        <v>14.454000000000001</v>
      </c>
      <c r="B42" s="352">
        <f t="shared" si="28"/>
        <v>1.4454E-2</v>
      </c>
      <c r="C42" s="325">
        <f t="shared" si="0"/>
        <v>1.0004737932408434</v>
      </c>
      <c r="D42" s="326">
        <f t="shared" si="1"/>
        <v>3.0776817566086172E-2</v>
      </c>
      <c r="E42" s="326">
        <f t="shared" si="2"/>
        <v>1.0000000006598204</v>
      </c>
      <c r="F42" s="327">
        <f t="shared" si="3"/>
        <v>3.6326864114500532E-5</v>
      </c>
      <c r="G42" s="326">
        <f t="shared" si="4"/>
        <v>1</v>
      </c>
      <c r="H42" s="327">
        <f t="shared" si="5"/>
        <v>0</v>
      </c>
      <c r="I42" s="325">
        <f t="shared" si="6"/>
        <v>4.8731642968304163</v>
      </c>
      <c r="J42" s="328">
        <f t="shared" si="7"/>
        <v>1.3641226801434039</v>
      </c>
      <c r="K42" s="336">
        <f t="shared" si="8"/>
        <v>1.0000056902154959</v>
      </c>
      <c r="L42" s="337">
        <f t="shared" si="9"/>
        <v>3.3734814402552084E-3</v>
      </c>
      <c r="M42" s="325">
        <f t="shared" si="10"/>
        <v>1.0000000085743754</v>
      </c>
      <c r="N42" s="337">
        <f t="shared" si="11"/>
        <v>1.3095323925143849E-4</v>
      </c>
      <c r="O42" s="343">
        <f t="shared" si="12"/>
        <v>1.0000000035272727</v>
      </c>
      <c r="P42" s="691">
        <f t="shared" si="13"/>
        <v>8.3991342358575899E-5</v>
      </c>
      <c r="Q42" s="336">
        <f t="shared" si="29"/>
        <v>4.1565656974825558</v>
      </c>
      <c r="R42" s="692">
        <f t="shared" si="14"/>
        <v>1.4088310618045523E-4</v>
      </c>
      <c r="S42" s="329">
        <f t="shared" si="15"/>
        <v>0.99999999841996168</v>
      </c>
      <c r="T42" s="330">
        <f t="shared" si="16"/>
        <v>8.3638309181168719E-5</v>
      </c>
      <c r="U42" s="331">
        <f t="shared" si="17"/>
        <v>88.196704220833126</v>
      </c>
      <c r="V42" s="332">
        <f t="shared" si="18"/>
        <v>-79.742041378002142</v>
      </c>
      <c r="W42" s="334">
        <f t="shared" si="19"/>
        <v>100.25795862199786</v>
      </c>
      <c r="Y42" s="307">
        <f t="shared" si="20"/>
        <v>1000000000</v>
      </c>
      <c r="Z42" s="307">
        <f t="shared" si="21"/>
        <v>208.91811600000003</v>
      </c>
      <c r="AB42" s="333">
        <f t="shared" si="22"/>
        <v>83.951052676659103</v>
      </c>
      <c r="AC42" s="334">
        <f t="shared" si="23"/>
        <v>-77.972689218518511</v>
      </c>
      <c r="AE42" s="333">
        <f t="shared" si="24"/>
        <v>28.66154432461375</v>
      </c>
      <c r="AF42" s="334">
        <f t="shared" si="25"/>
        <v>-1.766092501523872</v>
      </c>
      <c r="AH42">
        <f t="shared" si="26"/>
        <v>0</v>
      </c>
      <c r="AI42">
        <f t="shared" si="27"/>
        <v>0</v>
      </c>
    </row>
    <row r="43" spans="1:35" x14ac:dyDescent="0.25">
      <c r="A43" s="335">
        <v>15.849</v>
      </c>
      <c r="B43" s="352">
        <f t="shared" si="28"/>
        <v>1.5848999999999999E-2</v>
      </c>
      <c r="C43" s="325">
        <f t="shared" si="0"/>
        <v>1.0005696337132985</v>
      </c>
      <c r="D43" s="326">
        <f t="shared" si="1"/>
        <v>3.3745027560608626E-2</v>
      </c>
      <c r="E43" s="326">
        <f t="shared" si="2"/>
        <v>1.0000000007933292</v>
      </c>
      <c r="F43" s="327">
        <f t="shared" si="3"/>
        <v>3.9832881506812946E-5</v>
      </c>
      <c r="G43" s="326">
        <f t="shared" si="4"/>
        <v>1</v>
      </c>
      <c r="H43" s="327">
        <f t="shared" si="5"/>
        <v>0</v>
      </c>
      <c r="I43" s="325">
        <f t="shared" si="6"/>
        <v>5.3245212990931572</v>
      </c>
      <c r="J43" s="328">
        <f t="shared" si="7"/>
        <v>1.3818640174426149</v>
      </c>
      <c r="K43" s="336">
        <f t="shared" si="8"/>
        <v>1.0000068415750285</v>
      </c>
      <c r="L43" s="337">
        <f t="shared" si="9"/>
        <v>3.6990636714759944E-3</v>
      </c>
      <c r="M43" s="325">
        <f t="shared" si="10"/>
        <v>1.0000000103093225</v>
      </c>
      <c r="N43" s="337">
        <f t="shared" si="11"/>
        <v>1.4359193901310958E-4</v>
      </c>
      <c r="O43" s="343">
        <f t="shared" si="12"/>
        <v>1.0000000042409845</v>
      </c>
      <c r="P43" s="691">
        <f t="shared" si="13"/>
        <v>9.2097605120221667E-5</v>
      </c>
      <c r="Q43" s="336">
        <f t="shared" si="29"/>
        <v>4.156565705761718</v>
      </c>
      <c r="R43" s="692">
        <f t="shared" si="14"/>
        <v>1.5448016790515579E-4</v>
      </c>
      <c r="S43" s="329">
        <f t="shared" si="15"/>
        <v>0.99999999810025519</v>
      </c>
      <c r="T43" s="330">
        <f t="shared" si="16"/>
        <v>9.1710499719721645E-5</v>
      </c>
      <c r="U43" s="331">
        <f t="shared" si="17"/>
        <v>87.426491874664137</v>
      </c>
      <c r="V43" s="332">
        <f t="shared" si="18"/>
        <v>-80.911256913373705</v>
      </c>
      <c r="W43" s="334">
        <f t="shared" si="19"/>
        <v>99.088743086626295</v>
      </c>
      <c r="Y43" s="307">
        <f t="shared" si="20"/>
        <v>1000000000</v>
      </c>
      <c r="Z43" s="307">
        <f t="shared" si="21"/>
        <v>251.19080099999999</v>
      </c>
      <c r="AB43" s="333">
        <f t="shared" si="22"/>
        <v>83.181672363343338</v>
      </c>
      <c r="AC43" s="334">
        <f t="shared" si="23"/>
        <v>-78.971262626243842</v>
      </c>
      <c r="AE43" s="333">
        <f t="shared" si="24"/>
        <v>28.660712302862102</v>
      </c>
      <c r="AF43" s="334">
        <f t="shared" si="25"/>
        <v>-1.9364200295629908</v>
      </c>
      <c r="AH43">
        <f t="shared" si="26"/>
        <v>0</v>
      </c>
      <c r="AI43">
        <f t="shared" si="27"/>
        <v>0</v>
      </c>
    </row>
    <row r="44" spans="1:35" x14ac:dyDescent="0.25">
      <c r="A44" s="335">
        <v>17.378</v>
      </c>
      <c r="B44" s="352">
        <f t="shared" si="28"/>
        <v>1.7378000000000001E-2</v>
      </c>
      <c r="C44" s="325">
        <f t="shared" si="0"/>
        <v>1.0006848043944019</v>
      </c>
      <c r="D44" s="326">
        <f t="shared" si="1"/>
        <v>3.6997670874963542E-2</v>
      </c>
      <c r="E44" s="326">
        <f t="shared" si="2"/>
        <v>1.0000000009537824</v>
      </c>
      <c r="F44" s="327">
        <f t="shared" si="3"/>
        <v>4.3675677629588608E-5</v>
      </c>
      <c r="G44" s="326">
        <f t="shared" si="4"/>
        <v>1</v>
      </c>
      <c r="H44" s="327">
        <f t="shared" si="5"/>
        <v>0</v>
      </c>
      <c r="I44" s="325">
        <f t="shared" si="6"/>
        <v>5.8208463403451134</v>
      </c>
      <c r="J44" s="328">
        <f t="shared" si="7"/>
        <v>1.3981435132257707</v>
      </c>
      <c r="K44" s="336">
        <f t="shared" si="8"/>
        <v>1.0000082252981377</v>
      </c>
      <c r="L44" s="337">
        <f t="shared" si="9"/>
        <v>4.0559195648917391E-3</v>
      </c>
      <c r="M44" s="325">
        <f t="shared" si="10"/>
        <v>1.0000000123944135</v>
      </c>
      <c r="N44" s="337">
        <f t="shared" si="11"/>
        <v>1.5744467869904368E-4</v>
      </c>
      <c r="O44" s="343">
        <f t="shared" si="12"/>
        <v>1.0000000050987361</v>
      </c>
      <c r="P44" s="691">
        <f t="shared" si="13"/>
        <v>1.0098253396832654E-4</v>
      </c>
      <c r="Q44" s="336">
        <f t="shared" si="29"/>
        <v>4.1565657157117686</v>
      </c>
      <c r="R44" s="692">
        <f t="shared" si="14"/>
        <v>1.6938332725023708E-4</v>
      </c>
      <c r="S44" s="329">
        <f t="shared" si="15"/>
        <v>0.9999999977160261</v>
      </c>
      <c r="T44" s="330">
        <f t="shared" si="16"/>
        <v>1.0055808348750977E-4</v>
      </c>
      <c r="U44" s="331">
        <f t="shared" si="17"/>
        <v>86.65139280945931</v>
      </c>
      <c r="V44" s="332">
        <f t="shared" si="18"/>
        <v>-82.011344989129185</v>
      </c>
      <c r="W44" s="334">
        <f t="shared" si="19"/>
        <v>97.988655010870815</v>
      </c>
      <c r="Y44" s="307">
        <f t="shared" si="20"/>
        <v>1000000000</v>
      </c>
      <c r="Z44" s="307">
        <f t="shared" si="21"/>
        <v>301.99488400000001</v>
      </c>
      <c r="AB44" s="333">
        <f t="shared" si="22"/>
        <v>82.407573039524792</v>
      </c>
      <c r="AC44" s="334">
        <f t="shared" si="23"/>
        <v>-79.884356395194644</v>
      </c>
      <c r="AE44" s="333">
        <f t="shared" si="24"/>
        <v>28.659712574817888</v>
      </c>
      <c r="AF44" s="334">
        <f t="shared" si="25"/>
        <v>-2.1230695171596681</v>
      </c>
      <c r="AH44">
        <f t="shared" si="26"/>
        <v>0</v>
      </c>
      <c r="AI44">
        <f t="shared" si="27"/>
        <v>0</v>
      </c>
    </row>
    <row r="45" spans="1:35" x14ac:dyDescent="0.25">
      <c r="A45" s="335">
        <v>19.055</v>
      </c>
      <c r="B45" s="352">
        <f t="shared" si="28"/>
        <v>1.9054999999999999E-2</v>
      </c>
      <c r="C45" s="325">
        <f t="shared" si="0"/>
        <v>1.0008232937106856</v>
      </c>
      <c r="D45" s="326">
        <f t="shared" si="1"/>
        <v>4.0564251834603257E-2</v>
      </c>
      <c r="E45" s="326">
        <f t="shared" si="2"/>
        <v>1.0000000011467469</v>
      </c>
      <c r="F45" s="327">
        <f t="shared" si="3"/>
        <v>4.789043831998786E-5</v>
      </c>
      <c r="G45" s="326">
        <f t="shared" si="4"/>
        <v>1</v>
      </c>
      <c r="H45" s="327">
        <f t="shared" si="5"/>
        <v>0</v>
      </c>
      <c r="I45" s="325">
        <f t="shared" si="6"/>
        <v>6.3666969433548886</v>
      </c>
      <c r="J45" s="328">
        <f t="shared" si="7"/>
        <v>1.4130759221373823</v>
      </c>
      <c r="K45" s="336">
        <f t="shared" si="8"/>
        <v>1.0000098893923559</v>
      </c>
      <c r="L45" s="337">
        <f t="shared" si="9"/>
        <v>4.4473162371585235E-3</v>
      </c>
      <c r="M45" s="325">
        <f t="shared" si="10"/>
        <v>1.0000000149019912</v>
      </c>
      <c r="N45" s="337">
        <f t="shared" si="11"/>
        <v>1.7263829828489705E-4</v>
      </c>
      <c r="O45" s="343">
        <f t="shared" si="12"/>
        <v>1.0000000061302876</v>
      </c>
      <c r="P45" s="691">
        <f t="shared" si="13"/>
        <v>1.1072748207176732E-4</v>
      </c>
      <c r="Q45" s="336">
        <f t="shared" si="29"/>
        <v>4.156565727677922</v>
      </c>
      <c r="R45" s="692">
        <f t="shared" si="14"/>
        <v>1.8572904215582593E-4</v>
      </c>
      <c r="S45" s="329">
        <f t="shared" si="15"/>
        <v>0.99999999725394373</v>
      </c>
      <c r="T45" s="330">
        <f t="shared" si="16"/>
        <v>1.1026207172247942E-4</v>
      </c>
      <c r="U45" s="331">
        <f t="shared" si="17"/>
        <v>85.87164437574495</v>
      </c>
      <c r="V45" s="332">
        <f t="shared" si="18"/>
        <v>-83.050396893686298</v>
      </c>
      <c r="W45" s="334">
        <f t="shared" si="19"/>
        <v>96.949603106313702</v>
      </c>
      <c r="Y45" s="307">
        <f t="shared" si="20"/>
        <v>1000000000</v>
      </c>
      <c r="Z45" s="307">
        <f t="shared" si="21"/>
        <v>363.09302500000001</v>
      </c>
      <c r="AB45" s="333">
        <f t="shared" si="22"/>
        <v>81.62902661272112</v>
      </c>
      <c r="AC45" s="334">
        <f t="shared" si="23"/>
        <v>-80.718365557587973</v>
      </c>
      <c r="AE45" s="333">
        <f t="shared" si="24"/>
        <v>28.658510583952712</v>
      </c>
      <c r="AF45" s="334">
        <f t="shared" si="25"/>
        <v>-2.3277340632436974</v>
      </c>
      <c r="AH45">
        <f t="shared" si="26"/>
        <v>0</v>
      </c>
      <c r="AI45">
        <f t="shared" ref="AI45:AI76" si="30">IF(AH45&gt;0,W43,0)</f>
        <v>0</v>
      </c>
    </row>
    <row r="46" spans="1:35" x14ac:dyDescent="0.25">
      <c r="A46" s="335">
        <v>20.893000000000001</v>
      </c>
      <c r="B46" s="352">
        <f t="shared" si="28"/>
        <v>2.0893000000000002E-2</v>
      </c>
      <c r="C46" s="325">
        <f t="shared" si="0"/>
        <v>1.000989697292928</v>
      </c>
      <c r="D46" s="326">
        <f t="shared" si="1"/>
        <v>4.4472052596715245E-2</v>
      </c>
      <c r="E46" s="326">
        <f t="shared" si="2"/>
        <v>1.0000000013786414</v>
      </c>
      <c r="F46" s="327">
        <f t="shared" si="3"/>
        <v>5.2509836140898512E-5</v>
      </c>
      <c r="G46" s="326">
        <f t="shared" si="4"/>
        <v>1</v>
      </c>
      <c r="H46" s="327">
        <f t="shared" si="5"/>
        <v>0</v>
      </c>
      <c r="I46" s="325">
        <f t="shared" si="6"/>
        <v>6.9663144010597158</v>
      </c>
      <c r="J46" s="328">
        <f t="shared" si="7"/>
        <v>1.4267507786646068</v>
      </c>
      <c r="K46" s="336">
        <f t="shared" si="8"/>
        <v>1.0000118892066487</v>
      </c>
      <c r="L46" s="337">
        <f t="shared" si="9"/>
        <v>4.8762872875968335E-3</v>
      </c>
      <c r="M46" s="325">
        <f t="shared" si="10"/>
        <v>1.0000000179154618</v>
      </c>
      <c r="N46" s="337">
        <f t="shared" si="11"/>
        <v>1.8929057773918126E-4</v>
      </c>
      <c r="O46" s="343">
        <f t="shared" si="12"/>
        <v>1.0000000073699502</v>
      </c>
      <c r="P46" s="691">
        <f t="shared" si="13"/>
        <v>1.2140799165644294E-4</v>
      </c>
      <c r="Q46" s="336">
        <f t="shared" si="29"/>
        <v>4.1565657420581958</v>
      </c>
      <c r="R46" s="692">
        <f t="shared" si="14"/>
        <v>2.0364402355539809E-4</v>
      </c>
      <c r="S46" s="329">
        <f t="shared" si="15"/>
        <v>0.99999999669863804</v>
      </c>
      <c r="T46" s="330">
        <f t="shared" si="16"/>
        <v>1.2089768914830632E-4</v>
      </c>
      <c r="U46" s="331">
        <f t="shared" si="17"/>
        <v>85.08843978962696</v>
      </c>
      <c r="V46" s="332">
        <f t="shared" si="18"/>
        <v>-84.034944033417787</v>
      </c>
      <c r="W46" s="334">
        <f t="shared" si="19"/>
        <v>95.965055966582213</v>
      </c>
      <c r="Y46" s="307">
        <f t="shared" si="20"/>
        <v>1000000000</v>
      </c>
      <c r="Z46" s="307">
        <f t="shared" si="21"/>
        <v>436.51744900000006</v>
      </c>
      <c r="AB46" s="333">
        <f t="shared" si="22"/>
        <v>80.847266093173658</v>
      </c>
      <c r="AC46" s="334">
        <f t="shared" si="23"/>
        <v>-81.47825299752175</v>
      </c>
      <c r="AE46" s="333">
        <f t="shared" si="24"/>
        <v>28.657066536664743</v>
      </c>
      <c r="AF46" s="334">
        <f t="shared" si="25"/>
        <v>-2.5519792583389438</v>
      </c>
      <c r="AH46">
        <f t="shared" si="26"/>
        <v>0</v>
      </c>
      <c r="AI46">
        <f t="shared" si="30"/>
        <v>0</v>
      </c>
    </row>
    <row r="47" spans="1:35" x14ac:dyDescent="0.25">
      <c r="A47" s="335">
        <v>22.909000000000002</v>
      </c>
      <c r="B47" s="352">
        <f t="shared" si="28"/>
        <v>2.2909000000000002E-2</v>
      </c>
      <c r="C47" s="325">
        <f t="shared" si="0"/>
        <v>1.001189788077802</v>
      </c>
      <c r="D47" s="326">
        <f t="shared" si="1"/>
        <v>4.8756735149095037E-2</v>
      </c>
      <c r="E47" s="326">
        <f t="shared" si="2"/>
        <v>1.0000000016575321</v>
      </c>
      <c r="F47" s="327">
        <f t="shared" si="3"/>
        <v>5.7576596751456632E-5</v>
      </c>
      <c r="G47" s="326">
        <f t="shared" si="4"/>
        <v>1</v>
      </c>
      <c r="H47" s="327">
        <f t="shared" si="5"/>
        <v>0</v>
      </c>
      <c r="I47" s="325">
        <f t="shared" si="6"/>
        <v>7.6252523380378747</v>
      </c>
      <c r="J47" s="328">
        <f t="shared" si="7"/>
        <v>1.4392742744399647</v>
      </c>
      <c r="K47" s="336">
        <f t="shared" si="8"/>
        <v>1.0000142943038439</v>
      </c>
      <c r="L47" s="337">
        <f t="shared" si="9"/>
        <v>5.3467997107369105E-3</v>
      </c>
      <c r="M47" s="325">
        <f t="shared" si="10"/>
        <v>1.0000000215396507</v>
      </c>
      <c r="N47" s="337">
        <f t="shared" si="11"/>
        <v>2.0755553701955082E-4</v>
      </c>
      <c r="O47" s="343">
        <f t="shared" si="12"/>
        <v>1.0000000088608465</v>
      </c>
      <c r="P47" s="691">
        <f t="shared" si="13"/>
        <v>1.3312284870975905E-4</v>
      </c>
      <c r="Q47" s="336">
        <f t="shared" si="29"/>
        <v>4.1565657593528185</v>
      </c>
      <c r="R47" s="692">
        <f t="shared" si="14"/>
        <v>2.2329397036052333E-4</v>
      </c>
      <c r="S47" s="329">
        <f t="shared" si="15"/>
        <v>0.99999999603079259</v>
      </c>
      <c r="T47" s="330">
        <f t="shared" si="16"/>
        <v>1.3256330655784791E-4</v>
      </c>
      <c r="U47" s="331">
        <f t="shared" si="17"/>
        <v>84.301701576054029</v>
      </c>
      <c r="V47" s="332">
        <f t="shared" si="18"/>
        <v>-84.972902576794581</v>
      </c>
      <c r="W47" s="334">
        <f t="shared" si="19"/>
        <v>95.027097423205419</v>
      </c>
      <c r="Y47" s="307">
        <f t="shared" si="20"/>
        <v>1000000000</v>
      </c>
      <c r="Z47" s="307">
        <f t="shared" si="21"/>
        <v>524.82228100000009</v>
      </c>
      <c r="AB47" s="333">
        <f t="shared" si="22"/>
        <v>80.06226396917414</v>
      </c>
      <c r="AC47" s="334">
        <f t="shared" si="23"/>
        <v>-82.169884580015335</v>
      </c>
      <c r="AE47" s="333">
        <f t="shared" si="24"/>
        <v>28.655330470281797</v>
      </c>
      <c r="AF47" s="334">
        <f t="shared" si="25"/>
        <v>-2.7978515720687902</v>
      </c>
      <c r="AH47">
        <f t="shared" si="26"/>
        <v>0</v>
      </c>
      <c r="AI47">
        <f t="shared" si="30"/>
        <v>0</v>
      </c>
    </row>
    <row r="48" spans="1:35" x14ac:dyDescent="0.25">
      <c r="A48" s="335">
        <v>25.119</v>
      </c>
      <c r="B48" s="352">
        <f t="shared" si="28"/>
        <v>2.5118999999999999E-2</v>
      </c>
      <c r="C48" s="325">
        <f t="shared" si="0"/>
        <v>1.0014302430966064</v>
      </c>
      <c r="D48" s="326">
        <f t="shared" si="1"/>
        <v>5.3451669978651473E-2</v>
      </c>
      <c r="E48" s="326">
        <f t="shared" si="2"/>
        <v>1.0000000019927573</v>
      </c>
      <c r="F48" s="327">
        <f t="shared" si="3"/>
        <v>6.3130932536410261E-5</v>
      </c>
      <c r="G48" s="326">
        <f t="shared" si="4"/>
        <v>1</v>
      </c>
      <c r="H48" s="327">
        <f t="shared" si="5"/>
        <v>0</v>
      </c>
      <c r="I48" s="325">
        <f t="shared" si="6"/>
        <v>8.3487466039092375</v>
      </c>
      <c r="J48" s="328">
        <f t="shared" si="7"/>
        <v>1.4507295952615735</v>
      </c>
      <c r="K48" s="336">
        <f t="shared" si="8"/>
        <v>1.0000171852086348</v>
      </c>
      <c r="L48" s="337">
        <f t="shared" si="9"/>
        <v>5.8625868913015329E-3</v>
      </c>
      <c r="M48" s="325">
        <f t="shared" si="10"/>
        <v>1.0000000258959045</v>
      </c>
      <c r="N48" s="337">
        <f t="shared" si="11"/>
        <v>2.2757813607110554E-4</v>
      </c>
      <c r="O48" s="343">
        <f t="shared" si="12"/>
        <v>1.0000000106528948</v>
      </c>
      <c r="P48" s="691">
        <f t="shared" si="13"/>
        <v>1.45965028274716E-4</v>
      </c>
      <c r="Q48" s="336">
        <f t="shared" si="29"/>
        <v>4.1565657801408493</v>
      </c>
      <c r="R48" s="692">
        <f t="shared" si="14"/>
        <v>2.4483483446946573E-4</v>
      </c>
      <c r="S48" s="329">
        <f t="shared" si="15"/>
        <v>0.99999999522804639</v>
      </c>
      <c r="T48" s="330">
        <f t="shared" si="16"/>
        <v>1.4535150823135075E-4</v>
      </c>
      <c r="U48" s="331">
        <f t="shared" si="17"/>
        <v>83.512299602618313</v>
      </c>
      <c r="V48" s="332">
        <f t="shared" si="18"/>
        <v>-85.870751714433482</v>
      </c>
      <c r="W48" s="334">
        <f t="shared" si="19"/>
        <v>94.129248285566518</v>
      </c>
      <c r="Y48" s="307">
        <f t="shared" si="20"/>
        <v>1000000000</v>
      </c>
      <c r="Z48" s="307">
        <f t="shared" si="21"/>
        <v>630.96416099999999</v>
      </c>
      <c r="AB48" s="333">
        <f t="shared" si="22"/>
        <v>79.274947847021068</v>
      </c>
      <c r="AC48" s="334">
        <f t="shared" si="23"/>
        <v>-82.797820898626611</v>
      </c>
      <c r="AE48" s="333">
        <f t="shared" si="24"/>
        <v>28.653244646873929</v>
      </c>
      <c r="AF48" s="334">
        <f t="shared" si="25"/>
        <v>-3.0672659931841744</v>
      </c>
      <c r="AH48">
        <f t="shared" si="26"/>
        <v>0</v>
      </c>
      <c r="AI48">
        <f t="shared" si="30"/>
        <v>0</v>
      </c>
    </row>
    <row r="49" spans="1:35" x14ac:dyDescent="0.25">
      <c r="A49" s="335">
        <v>27.542000000000002</v>
      </c>
      <c r="B49" s="352">
        <f t="shared" si="28"/>
        <v>2.7542000000000001E-2</v>
      </c>
      <c r="C49" s="325">
        <f t="shared" si="0"/>
        <v>1.0017192277537577</v>
      </c>
      <c r="D49" s="326">
        <f t="shared" si="1"/>
        <v>5.8596386268783336E-2</v>
      </c>
      <c r="E49" s="326">
        <f t="shared" si="2"/>
        <v>1.0000000023957454</v>
      </c>
      <c r="F49" s="327">
        <f t="shared" si="3"/>
        <v>6.9220595702483386E-5</v>
      </c>
      <c r="G49" s="326">
        <f t="shared" si="4"/>
        <v>1</v>
      </c>
      <c r="H49" s="327">
        <f t="shared" si="5"/>
        <v>0</v>
      </c>
      <c r="I49" s="325">
        <f t="shared" si="6"/>
        <v>9.1430213907932867</v>
      </c>
      <c r="J49" s="328">
        <f t="shared" si="7"/>
        <v>1.4612040475880661</v>
      </c>
      <c r="K49" s="336">
        <f t="shared" si="8"/>
        <v>1.0000206604753976</v>
      </c>
      <c r="L49" s="337">
        <f t="shared" si="9"/>
        <v>6.4280820920843218E-3</v>
      </c>
      <c r="M49" s="325">
        <f t="shared" si="10"/>
        <v>1.0000000311327397</v>
      </c>
      <c r="N49" s="337">
        <f t="shared" si="11"/>
        <v>2.4953051482095429E-4</v>
      </c>
      <c r="O49" s="343">
        <f t="shared" si="12"/>
        <v>1.0000000128071913</v>
      </c>
      <c r="P49" s="691">
        <f t="shared" si="13"/>
        <v>1.6004493821284569E-4</v>
      </c>
      <c r="Q49" s="336">
        <f t="shared" si="29"/>
        <v>4.1565658051310148</v>
      </c>
      <c r="R49" s="692">
        <f t="shared" si="14"/>
        <v>2.6845180875194552E-4</v>
      </c>
      <c r="S49" s="329">
        <f t="shared" si="15"/>
        <v>0.99999999426303143</v>
      </c>
      <c r="T49" s="330">
        <f t="shared" si="16"/>
        <v>1.5937223800396944E-4</v>
      </c>
      <c r="U49" s="331">
        <f t="shared" si="17"/>
        <v>82.720454457914315</v>
      </c>
      <c r="V49" s="332">
        <f t="shared" si="18"/>
        <v>-86.735522297149743</v>
      </c>
      <c r="W49" s="334">
        <f t="shared" si="19"/>
        <v>93.264477702850257</v>
      </c>
      <c r="Y49" s="307">
        <f t="shared" si="20"/>
        <v>1000000000</v>
      </c>
      <c r="Z49" s="307">
        <f t="shared" si="21"/>
        <v>758.56176400000004</v>
      </c>
      <c r="AB49" s="333">
        <f t="shared" si="22"/>
        <v>78.485608866289581</v>
      </c>
      <c r="AC49" s="334">
        <f t="shared" si="23"/>
        <v>-83.366820100608663</v>
      </c>
      <c r="AE49" s="333">
        <f t="shared" si="24"/>
        <v>28.650738516410858</v>
      </c>
      <c r="AF49" s="334">
        <f t="shared" si="25"/>
        <v>-3.3624909403818686</v>
      </c>
      <c r="AH49">
        <f t="shared" si="26"/>
        <v>0</v>
      </c>
      <c r="AI49">
        <f t="shared" si="30"/>
        <v>0</v>
      </c>
    </row>
    <row r="50" spans="1:35" x14ac:dyDescent="0.25">
      <c r="A50" s="335">
        <v>30.2</v>
      </c>
      <c r="B50" s="352">
        <f t="shared" si="28"/>
        <v>3.0199999999999998E-2</v>
      </c>
      <c r="C50" s="325">
        <f t="shared" si="0"/>
        <v>1.0020667167843016</v>
      </c>
      <c r="D50" s="326">
        <f t="shared" si="1"/>
        <v>6.4236494589098331E-2</v>
      </c>
      <c r="E50" s="326">
        <f t="shared" si="2"/>
        <v>1.0000000028804716</v>
      </c>
      <c r="F50" s="327">
        <f t="shared" si="3"/>
        <v>7.5900878278246451E-5</v>
      </c>
      <c r="G50" s="326">
        <f t="shared" si="4"/>
        <v>1</v>
      </c>
      <c r="H50" s="327">
        <f t="shared" si="5"/>
        <v>0</v>
      </c>
      <c r="I50" s="325">
        <f t="shared" si="6"/>
        <v>10.015292491016046</v>
      </c>
      <c r="J50" s="328">
        <f t="shared" si="7"/>
        <v>1.4707823650885805</v>
      </c>
      <c r="K50" s="336">
        <f t="shared" si="8"/>
        <v>1.0000248406148227</v>
      </c>
      <c r="L50" s="337">
        <f t="shared" si="9"/>
        <v>7.0484183502445103E-3</v>
      </c>
      <c r="M50" s="325">
        <f t="shared" si="10"/>
        <v>1.0000000374317626</v>
      </c>
      <c r="N50" s="337">
        <f t="shared" si="11"/>
        <v>2.7361199317214716E-4</v>
      </c>
      <c r="O50" s="343">
        <f t="shared" si="12"/>
        <v>1.0000000153984439</v>
      </c>
      <c r="P50" s="691">
        <f t="shared" si="13"/>
        <v>1.7549041920261082E-4</v>
      </c>
      <c r="Q50" s="336">
        <f t="shared" si="29"/>
        <v>4.1565658351899355</v>
      </c>
      <c r="R50" s="692">
        <f t="shared" si="14"/>
        <v>2.9435932704167559E-4</v>
      </c>
      <c r="S50" s="329">
        <f t="shared" si="15"/>
        <v>0.99999999310228249</v>
      </c>
      <c r="T50" s="330">
        <f t="shared" si="16"/>
        <v>1.7475279926762777E-4</v>
      </c>
      <c r="U50" s="331">
        <f t="shared" si="17"/>
        <v>81.926000109698066</v>
      </c>
      <c r="V50" s="332">
        <f t="shared" si="18"/>
        <v>-87.574408905908996</v>
      </c>
      <c r="W50" s="334">
        <f t="shared" si="19"/>
        <v>92.425591094091004</v>
      </c>
      <c r="Y50" s="307">
        <f t="shared" si="20"/>
        <v>1000000000</v>
      </c>
      <c r="Z50" s="307">
        <f t="shared" si="21"/>
        <v>912.04</v>
      </c>
      <c r="AB50" s="333">
        <f t="shared" si="22"/>
        <v>77.694167092815903</v>
      </c>
      <c r="AC50" s="334">
        <f t="shared" si="23"/>
        <v>-83.88145438641493</v>
      </c>
      <c r="AE50" s="333">
        <f t="shared" si="24"/>
        <v>28.647725981974478</v>
      </c>
      <c r="AF50" s="334">
        <f t="shared" si="25"/>
        <v>-3.6861438327517688</v>
      </c>
      <c r="AH50">
        <f t="shared" si="26"/>
        <v>0</v>
      </c>
      <c r="AI50">
        <f t="shared" si="30"/>
        <v>0</v>
      </c>
    </row>
    <row r="51" spans="1:35" x14ac:dyDescent="0.25">
      <c r="A51" s="335">
        <v>33.113</v>
      </c>
      <c r="B51" s="352">
        <f t="shared" si="28"/>
        <v>3.3112999999999997E-2</v>
      </c>
      <c r="C51" s="325">
        <f t="shared" si="0"/>
        <v>1.0024841258982378</v>
      </c>
      <c r="D51" s="326">
        <f t="shared" si="1"/>
        <v>7.0412987073153008E-2</v>
      </c>
      <c r="E51" s="326">
        <f t="shared" si="2"/>
        <v>1.0000000034629544</v>
      </c>
      <c r="F51" s="327">
        <f t="shared" si="3"/>
        <v>8.3222045743430566E-5</v>
      </c>
      <c r="G51" s="326">
        <f t="shared" si="4"/>
        <v>1</v>
      </c>
      <c r="H51" s="327">
        <f t="shared" si="5"/>
        <v>0</v>
      </c>
      <c r="I51" s="325">
        <f t="shared" si="6"/>
        <v>10.97212588939178</v>
      </c>
      <c r="J51" s="328">
        <f t="shared" si="7"/>
        <v>1.4795296362267061</v>
      </c>
      <c r="K51" s="336">
        <f t="shared" si="8"/>
        <v>1.0000298637555702</v>
      </c>
      <c r="L51" s="337">
        <f t="shared" si="9"/>
        <v>7.7282614326853348E-3</v>
      </c>
      <c r="M51" s="325">
        <f t="shared" si="10"/>
        <v>1.000000045001133</v>
      </c>
      <c r="N51" s="337">
        <f t="shared" si="11"/>
        <v>3.000037709996603E-4</v>
      </c>
      <c r="O51" s="343">
        <f t="shared" si="12"/>
        <v>1.0000000185122839</v>
      </c>
      <c r="P51" s="691">
        <f t="shared" si="13"/>
        <v>1.92417690032881E-4</v>
      </c>
      <c r="Q51" s="336">
        <f t="shared" si="29"/>
        <v>4.1565658713109528</v>
      </c>
      <c r="R51" s="692">
        <f t="shared" si="14"/>
        <v>3.2275232914211015E-4</v>
      </c>
      <c r="S51" s="329">
        <f t="shared" si="15"/>
        <v>0.99999999170744092</v>
      </c>
      <c r="T51" s="330">
        <f t="shared" si="16"/>
        <v>1.916089223899378E-4</v>
      </c>
      <c r="U51" s="331">
        <f t="shared" si="17"/>
        <v>81.129883408874107</v>
      </c>
      <c r="V51" s="332">
        <f t="shared" si="18"/>
        <v>-88.393240825702591</v>
      </c>
      <c r="W51" s="334">
        <f t="shared" si="19"/>
        <v>91.606759174297409</v>
      </c>
      <c r="Y51" s="307">
        <f t="shared" si="20"/>
        <v>1000000000</v>
      </c>
      <c r="Z51" s="307">
        <f t="shared" si="21"/>
        <v>1096.470769</v>
      </c>
      <c r="AB51" s="333">
        <f t="shared" si="22"/>
        <v>76.901667761832556</v>
      </c>
      <c r="AC51" s="334">
        <f t="shared" si="23"/>
        <v>-84.345196103544382</v>
      </c>
      <c r="AE51" s="333">
        <f t="shared" si="24"/>
        <v>28.644108660568726</v>
      </c>
      <c r="AF51" s="334">
        <f t="shared" si="25"/>
        <v>-4.0405770974043724</v>
      </c>
      <c r="AH51">
        <f t="shared" si="26"/>
        <v>0</v>
      </c>
      <c r="AI51">
        <f t="shared" si="30"/>
        <v>0</v>
      </c>
    </row>
    <row r="52" spans="1:35" x14ac:dyDescent="0.25">
      <c r="A52" s="335">
        <v>36.308</v>
      </c>
      <c r="B52" s="352">
        <f t="shared" si="28"/>
        <v>3.6308E-2</v>
      </c>
      <c r="C52" s="325">
        <f t="shared" si="0"/>
        <v>1.0029858802907761</v>
      </c>
      <c r="D52" s="326">
        <f t="shared" si="1"/>
        <v>7.7181210204081502E-2</v>
      </c>
      <c r="E52" s="326">
        <f t="shared" si="2"/>
        <v>1.0000000041634598</v>
      </c>
      <c r="F52" s="327">
        <f t="shared" si="3"/>
        <v>9.1251956495677432E-5</v>
      </c>
      <c r="G52" s="326">
        <f t="shared" si="4"/>
        <v>1</v>
      </c>
      <c r="H52" s="327">
        <f t="shared" si="5"/>
        <v>0</v>
      </c>
      <c r="I52" s="325">
        <f t="shared" si="6"/>
        <v>12.022392084058676</v>
      </c>
      <c r="J52" s="328">
        <f t="shared" si="7"/>
        <v>1.4875219918798079</v>
      </c>
      <c r="K52" s="336">
        <f t="shared" si="8"/>
        <v>1.000035904650687</v>
      </c>
      <c r="L52" s="337">
        <f t="shared" si="9"/>
        <v>8.4739101285461749E-3</v>
      </c>
      <c r="M52" s="325">
        <f t="shared" si="10"/>
        <v>1.0000000541042076</v>
      </c>
      <c r="N52" s="337">
        <f t="shared" si="11"/>
        <v>3.289504681349304E-4</v>
      </c>
      <c r="O52" s="343">
        <f t="shared" si="12"/>
        <v>1.0000000222570498</v>
      </c>
      <c r="P52" s="691">
        <f t="shared" si="13"/>
        <v>2.1098364606868806E-4</v>
      </c>
      <c r="Q52" s="336">
        <f t="shared" si="29"/>
        <v>4.1565659147508036</v>
      </c>
      <c r="R52" s="692">
        <f t="shared" si="14"/>
        <v>3.5389398378818236E-4</v>
      </c>
      <c r="S52" s="329">
        <f t="shared" si="15"/>
        <v>0.99999999002997697</v>
      </c>
      <c r="T52" s="330">
        <f t="shared" si="16"/>
        <v>2.1009684336710836E-4</v>
      </c>
      <c r="U52" s="331">
        <f t="shared" si="17"/>
        <v>80.331587353543057</v>
      </c>
      <c r="V52" s="332">
        <f t="shared" si="18"/>
        <v>-89.199215428726063</v>
      </c>
      <c r="W52" s="334">
        <f t="shared" si="19"/>
        <v>90.800784571273937</v>
      </c>
      <c r="Y52" s="307">
        <f t="shared" si="20"/>
        <v>1000000000</v>
      </c>
      <c r="Z52" s="307">
        <f t="shared" si="21"/>
        <v>1318.2708640000001</v>
      </c>
      <c r="AB52" s="333">
        <f t="shared" si="22"/>
        <v>76.107718040331747</v>
      </c>
      <c r="AC52" s="334">
        <f t="shared" si="23"/>
        <v>-84.762060351615403</v>
      </c>
      <c r="AE52" s="333">
        <f t="shared" si="24"/>
        <v>28.639762384987225</v>
      </c>
      <c r="AF52" s="334">
        <f t="shared" si="25"/>
        <v>-4.4289669179011879</v>
      </c>
      <c r="AH52">
        <f t="shared" si="26"/>
        <v>0</v>
      </c>
      <c r="AI52">
        <f t="shared" si="30"/>
        <v>0</v>
      </c>
    </row>
    <row r="53" spans="1:35" x14ac:dyDescent="0.25">
      <c r="A53" s="335">
        <v>39.811</v>
      </c>
      <c r="B53" s="352">
        <f t="shared" si="28"/>
        <v>3.9810999999999999E-2</v>
      </c>
      <c r="C53" s="325">
        <f t="shared" si="0"/>
        <v>1.0035887500794638</v>
      </c>
      <c r="D53" s="326">
        <f t="shared" si="1"/>
        <v>8.4593737814278216E-2</v>
      </c>
      <c r="E53" s="326">
        <f t="shared" si="2"/>
        <v>1.000000005005597</v>
      </c>
      <c r="F53" s="327">
        <f t="shared" si="3"/>
        <v>1.000559556574268E-4</v>
      </c>
      <c r="G53" s="326">
        <f t="shared" si="4"/>
        <v>1</v>
      </c>
      <c r="H53" s="327">
        <f t="shared" si="5"/>
        <v>0</v>
      </c>
      <c r="I53" s="325">
        <f t="shared" si="6"/>
        <v>13.174639645656837</v>
      </c>
      <c r="J53" s="328">
        <f t="shared" si="7"/>
        <v>1.4948198487969595</v>
      </c>
      <c r="K53" s="336">
        <f t="shared" si="8"/>
        <v>1.0000431668788698</v>
      </c>
      <c r="L53" s="337">
        <f t="shared" si="9"/>
        <v>9.2914289655262085E-3</v>
      </c>
      <c r="M53" s="325">
        <f t="shared" si="10"/>
        <v>1.0000000650477918</v>
      </c>
      <c r="N53" s="337">
        <f t="shared" si="11"/>
        <v>3.606876443587101E-4</v>
      </c>
      <c r="O53" s="343">
        <f t="shared" si="12"/>
        <v>1.0000000267589531</v>
      </c>
      <c r="P53" s="691">
        <f t="shared" si="13"/>
        <v>2.3133937172059804E-4</v>
      </c>
      <c r="Q53" s="336">
        <f t="shared" si="29"/>
        <v>4.1565659669735604</v>
      </c>
      <c r="R53" s="692">
        <f t="shared" si="14"/>
        <v>3.8803771265461694E-4</v>
      </c>
      <c r="S53" s="329">
        <f t="shared" si="15"/>
        <v>0.99999998801335399</v>
      </c>
      <c r="T53" s="330">
        <f t="shared" si="16"/>
        <v>2.3036701169443599E-4</v>
      </c>
      <c r="U53" s="331">
        <f t="shared" si="17"/>
        <v>79.531473831755648</v>
      </c>
      <c r="V53" s="332">
        <f t="shared" si="18"/>
        <v>-89.998483362783347</v>
      </c>
      <c r="W53" s="334">
        <f t="shared" si="19"/>
        <v>90.001516637216653</v>
      </c>
      <c r="Y53" s="307">
        <f t="shared" si="20"/>
        <v>1000000000</v>
      </c>
      <c r="Z53" s="307">
        <f t="shared" si="21"/>
        <v>1584.9157210000001</v>
      </c>
      <c r="AB53" s="333">
        <f t="shared" si="22"/>
        <v>75.312823866853094</v>
      </c>
      <c r="AC53" s="334">
        <f t="shared" si="23"/>
        <v>-85.135174780104776</v>
      </c>
      <c r="AE53" s="333">
        <f t="shared" si="24"/>
        <v>28.634543106704257</v>
      </c>
      <c r="AF53" s="334">
        <f t="shared" si="25"/>
        <v>-4.8543304290760734</v>
      </c>
      <c r="AH53">
        <f t="shared" si="26"/>
        <v>0</v>
      </c>
      <c r="AI53">
        <f t="shared" si="30"/>
        <v>0</v>
      </c>
    </row>
    <row r="54" spans="1:35" x14ac:dyDescent="0.25">
      <c r="A54" s="335">
        <v>43.652000000000001</v>
      </c>
      <c r="B54" s="352">
        <f t="shared" si="28"/>
        <v>4.3652000000000003E-2</v>
      </c>
      <c r="C54" s="325">
        <f t="shared" si="0"/>
        <v>1.0043130883755373</v>
      </c>
      <c r="D54" s="326">
        <f t="shared" si="1"/>
        <v>9.2710764662689057E-2</v>
      </c>
      <c r="E54" s="326">
        <f t="shared" si="2"/>
        <v>1.0000000060180807</v>
      </c>
      <c r="F54" s="327">
        <f t="shared" si="3"/>
        <v>1.0970944144607983E-4</v>
      </c>
      <c r="G54" s="326">
        <f t="shared" si="4"/>
        <v>1</v>
      </c>
      <c r="H54" s="327">
        <f t="shared" si="5"/>
        <v>0</v>
      </c>
      <c r="I54" s="325">
        <f t="shared" si="6"/>
        <v>14.438737635005795</v>
      </c>
      <c r="J54" s="328">
        <f t="shared" si="7"/>
        <v>1.501482706449057</v>
      </c>
      <c r="K54" s="336">
        <f t="shared" si="8"/>
        <v>1.0000518980299751</v>
      </c>
      <c r="L54" s="337">
        <f t="shared" si="9"/>
        <v>1.0187814836362257E-2</v>
      </c>
      <c r="M54" s="325">
        <f t="shared" si="10"/>
        <v>1.000000078205028</v>
      </c>
      <c r="N54" s="337">
        <f t="shared" si="11"/>
        <v>3.9548709938061358E-4</v>
      </c>
      <c r="O54" s="343">
        <f t="shared" si="12"/>
        <v>1.0000000321714946</v>
      </c>
      <c r="P54" s="691">
        <f t="shared" si="13"/>
        <v>2.5365919514477858E-4</v>
      </c>
      <c r="Q54" s="336">
        <f t="shared" si="29"/>
        <v>4.1565660297598583</v>
      </c>
      <c r="R54" s="692">
        <f t="shared" si="14"/>
        <v>4.2547592532008041E-4</v>
      </c>
      <c r="S54" s="329">
        <f t="shared" si="15"/>
        <v>0.99999998558881165</v>
      </c>
      <c r="T54" s="330">
        <f t="shared" si="16"/>
        <v>2.5259302295489391E-4</v>
      </c>
      <c r="U54" s="331">
        <f t="shared" si="17"/>
        <v>78.729473138621771</v>
      </c>
      <c r="V54" s="332">
        <f t="shared" si="18"/>
        <v>-90.797529674498293</v>
      </c>
      <c r="W54" s="334">
        <f t="shared" si="19"/>
        <v>89.202470325501707</v>
      </c>
      <c r="Y54" s="307">
        <f t="shared" si="20"/>
        <v>1000000000</v>
      </c>
      <c r="Z54" s="307">
        <f t="shared" si="21"/>
        <v>1905.497104</v>
      </c>
      <c r="AB54" s="333">
        <f t="shared" si="22"/>
        <v>74.5170899913537</v>
      </c>
      <c r="AC54" s="334">
        <f t="shared" si="23"/>
        <v>-85.467563138134253</v>
      </c>
      <c r="AE54" s="333">
        <f t="shared" si="24"/>
        <v>28.628276373260256</v>
      </c>
      <c r="AF54" s="334">
        <f t="shared" si="25"/>
        <v>-5.3201221628639912</v>
      </c>
      <c r="AH54">
        <f t="shared" si="26"/>
        <v>0</v>
      </c>
      <c r="AI54">
        <f t="shared" si="30"/>
        <v>0</v>
      </c>
    </row>
    <row r="55" spans="1:35" x14ac:dyDescent="0.25">
      <c r="A55" s="335">
        <v>47.863</v>
      </c>
      <c r="B55" s="352">
        <f t="shared" si="28"/>
        <v>4.7863000000000003E-2</v>
      </c>
      <c r="C55" s="325">
        <f t="shared" si="0"/>
        <v>1.0051831218459613</v>
      </c>
      <c r="D55" s="326">
        <f t="shared" si="1"/>
        <v>0.10159560153156015</v>
      </c>
      <c r="E55" s="326">
        <f t="shared" si="2"/>
        <v>1.0000000072351836</v>
      </c>
      <c r="F55" s="327">
        <f t="shared" si="3"/>
        <v>1.2029283862533283E-4</v>
      </c>
      <c r="G55" s="326">
        <f t="shared" si="4"/>
        <v>1</v>
      </c>
      <c r="H55" s="327">
        <f t="shared" si="5"/>
        <v>0</v>
      </c>
      <c r="I55" s="325">
        <f t="shared" si="6"/>
        <v>15.825218242242816</v>
      </c>
      <c r="J55" s="328">
        <f t="shared" si="7"/>
        <v>1.5075639160126253</v>
      </c>
      <c r="K55" s="336">
        <f t="shared" si="8"/>
        <v>1.0000623936127213</v>
      </c>
      <c r="L55" s="337">
        <f t="shared" si="9"/>
        <v>1.1170529867314361E-2</v>
      </c>
      <c r="M55" s="325">
        <f t="shared" si="10"/>
        <v>1.0000000940212914</v>
      </c>
      <c r="N55" s="337">
        <f t="shared" si="11"/>
        <v>4.3363875281914976E-4</v>
      </c>
      <c r="O55" s="343">
        <f t="shared" si="12"/>
        <v>1.00000003867789</v>
      </c>
      <c r="P55" s="691">
        <f t="shared" si="13"/>
        <v>2.7812906635554503E-4</v>
      </c>
      <c r="Q55" s="336">
        <f t="shared" si="29"/>
        <v>4.1565661052350276</v>
      </c>
      <c r="R55" s="692">
        <f t="shared" si="14"/>
        <v>4.6652052524689654E-4</v>
      </c>
      <c r="S55" s="329">
        <f t="shared" si="15"/>
        <v>0.99999998267427848</v>
      </c>
      <c r="T55" s="330">
        <f t="shared" si="16"/>
        <v>2.7696004579233263E-4</v>
      </c>
      <c r="U55" s="331">
        <f t="shared" si="17"/>
        <v>77.925633129926752</v>
      </c>
      <c r="V55" s="332">
        <f t="shared" si="18"/>
        <v>-91.602640882558333</v>
      </c>
      <c r="W55" s="334">
        <f t="shared" si="19"/>
        <v>88.397359117441667</v>
      </c>
      <c r="Y55" s="307">
        <f t="shared" si="20"/>
        <v>1000000000</v>
      </c>
      <c r="Z55" s="307">
        <f t="shared" si="21"/>
        <v>2290.8667689999997</v>
      </c>
      <c r="AB55" s="333">
        <f t="shared" si="22"/>
        <v>73.720771351216172</v>
      </c>
      <c r="AC55" s="334">
        <f t="shared" si="23"/>
        <v>-85.761871285783471</v>
      </c>
      <c r="AE55" s="333">
        <f t="shared" si="24"/>
        <v>28.620755105907815</v>
      </c>
      <c r="AF55" s="334">
        <f t="shared" si="25"/>
        <v>-5.8299755612717279</v>
      </c>
      <c r="AH55">
        <f t="shared" si="26"/>
        <v>0</v>
      </c>
      <c r="AI55">
        <f t="shared" si="30"/>
        <v>0</v>
      </c>
    </row>
    <row r="56" spans="1:35" x14ac:dyDescent="0.25">
      <c r="A56" s="335">
        <v>52.481000000000002</v>
      </c>
      <c r="B56" s="352">
        <f t="shared" si="28"/>
        <v>5.2481E-2</v>
      </c>
      <c r="C56" s="325">
        <f t="shared" si="0"/>
        <v>1.0062282993471741</v>
      </c>
      <c r="D56" s="326">
        <f t="shared" si="1"/>
        <v>0.1113206521938917</v>
      </c>
      <c r="E56" s="326">
        <f t="shared" si="2"/>
        <v>1.0000000086986913</v>
      </c>
      <c r="F56" s="327">
        <f t="shared" si="3"/>
        <v>1.3189913832682007E-4</v>
      </c>
      <c r="G56" s="326">
        <f t="shared" si="4"/>
        <v>1</v>
      </c>
      <c r="H56" s="327">
        <f t="shared" si="5"/>
        <v>0</v>
      </c>
      <c r="I56" s="325">
        <f t="shared" si="6"/>
        <v>17.346264501350085</v>
      </c>
      <c r="J56" s="328">
        <f t="shared" si="7"/>
        <v>1.5131150469482881</v>
      </c>
      <c r="K56" s="336">
        <f t="shared" si="8"/>
        <v>1.00007501390317</v>
      </c>
      <c r="L56" s="337">
        <f t="shared" si="9"/>
        <v>1.2248201029706718E-2</v>
      </c>
      <c r="M56" s="325">
        <f t="shared" si="10"/>
        <v>1.0000001130395912</v>
      </c>
      <c r="N56" s="337">
        <f t="shared" si="11"/>
        <v>4.7547782416812088E-4</v>
      </c>
      <c r="O56" s="343">
        <f t="shared" si="12"/>
        <v>1.0000000465015195</v>
      </c>
      <c r="P56" s="691">
        <f t="shared" si="13"/>
        <v>3.0496399003977325E-4</v>
      </c>
      <c r="Q56" s="336">
        <f t="shared" si="29"/>
        <v>4.1565661959903073</v>
      </c>
      <c r="R56" s="692">
        <f t="shared" si="14"/>
        <v>5.1153215073329963E-4</v>
      </c>
      <c r="S56" s="329">
        <f t="shared" si="15"/>
        <v>0.99999997916969185</v>
      </c>
      <c r="T56" s="330">
        <f t="shared" si="16"/>
        <v>3.0368218147117695E-4</v>
      </c>
      <c r="U56" s="331">
        <f t="shared" si="17"/>
        <v>77.119590576720881</v>
      </c>
      <c r="V56" s="332">
        <f t="shared" si="18"/>
        <v>-92.420460330936351</v>
      </c>
      <c r="W56" s="334">
        <f t="shared" si="19"/>
        <v>87.579539669063649</v>
      </c>
      <c r="Y56" s="307">
        <f t="shared" si="20"/>
        <v>1000000000</v>
      </c>
      <c r="Z56" s="307">
        <f t="shared" si="21"/>
        <v>2754.255361</v>
      </c>
      <c r="AB56" s="333">
        <f t="shared" si="22"/>
        <v>72.923755669528674</v>
      </c>
      <c r="AC56" s="334">
        <f t="shared" si="23"/>
        <v>-86.020578853116064</v>
      </c>
      <c r="AE56" s="333">
        <f t="shared" si="24"/>
        <v>28.611728356083677</v>
      </c>
      <c r="AF56" s="334">
        <f t="shared" si="25"/>
        <v>-6.3880459940172338</v>
      </c>
      <c r="AH56">
        <f t="shared" si="26"/>
        <v>0</v>
      </c>
      <c r="AI56">
        <f t="shared" si="30"/>
        <v>0</v>
      </c>
    </row>
    <row r="57" spans="1:35" x14ac:dyDescent="0.25">
      <c r="A57" s="335">
        <v>57.544000000000004</v>
      </c>
      <c r="B57" s="352">
        <f t="shared" si="28"/>
        <v>5.7544000000000005E-2</v>
      </c>
      <c r="C57" s="325">
        <f t="shared" si="0"/>
        <v>1.0074833107073384</v>
      </c>
      <c r="D57" s="326">
        <f t="shared" si="1"/>
        <v>0.12195851888710652</v>
      </c>
      <c r="E57" s="326">
        <f t="shared" si="2"/>
        <v>1.0000000104580284</v>
      </c>
      <c r="F57" s="327">
        <f t="shared" si="3"/>
        <v>1.4462384495295984E-4</v>
      </c>
      <c r="G57" s="326">
        <f t="shared" si="4"/>
        <v>1</v>
      </c>
      <c r="H57" s="327">
        <f t="shared" si="5"/>
        <v>0</v>
      </c>
      <c r="I57" s="325">
        <f t="shared" si="6"/>
        <v>19.014393161079408</v>
      </c>
      <c r="J57" s="328">
        <f t="shared" si="7"/>
        <v>1.5181803138585115</v>
      </c>
      <c r="K57" s="336">
        <f t="shared" si="8"/>
        <v>1.000090185010557</v>
      </c>
      <c r="L57" s="337">
        <f t="shared" si="9"/>
        <v>1.3429686020037732E-2</v>
      </c>
      <c r="M57" s="325">
        <f t="shared" si="10"/>
        <v>1.0000001359021931</v>
      </c>
      <c r="N57" s="337">
        <f t="shared" si="11"/>
        <v>5.213485927650555E-4</v>
      </c>
      <c r="O57" s="343">
        <f t="shared" si="12"/>
        <v>1.0000000559065938</v>
      </c>
      <c r="P57" s="691">
        <f t="shared" si="13"/>
        <v>3.3438478178419946E-4</v>
      </c>
      <c r="Q57" s="336">
        <f t="shared" si="29"/>
        <v>4.1565663050905854</v>
      </c>
      <c r="R57" s="692">
        <f t="shared" si="14"/>
        <v>5.6088118688315484E-4</v>
      </c>
      <c r="S57" s="329">
        <f t="shared" si="15"/>
        <v>0.9999999749566989</v>
      </c>
      <c r="T57" s="330">
        <f t="shared" si="16"/>
        <v>3.3297931782026057E-4</v>
      </c>
      <c r="U57" s="331">
        <f t="shared" si="17"/>
        <v>76.31136527694116</v>
      </c>
      <c r="V57" s="332">
        <f t="shared" si="18"/>
        <v>-93.257209045016097</v>
      </c>
      <c r="W57" s="334">
        <f t="shared" si="19"/>
        <v>86.742790954983903</v>
      </c>
      <c r="Y57" s="307">
        <f t="shared" si="20"/>
        <v>1000000000</v>
      </c>
      <c r="Z57" s="307">
        <f t="shared" si="21"/>
        <v>3311.3119360000005</v>
      </c>
      <c r="AB57" s="333">
        <f t="shared" si="22"/>
        <v>72.126357130235718</v>
      </c>
      <c r="AC57" s="334">
        <f t="shared" si="23"/>
        <v>-86.245731367376024</v>
      </c>
      <c r="AE57" s="333">
        <f t="shared" si="24"/>
        <v>28.600901741890063</v>
      </c>
      <c r="AF57" s="334">
        <f t="shared" si="25"/>
        <v>-6.9985003895381803</v>
      </c>
      <c r="AH57">
        <f t="shared" si="26"/>
        <v>0</v>
      </c>
      <c r="AI57">
        <f t="shared" si="30"/>
        <v>0</v>
      </c>
    </row>
    <row r="58" spans="1:35" x14ac:dyDescent="0.25">
      <c r="A58" s="335">
        <v>63.095999999999997</v>
      </c>
      <c r="B58" s="352">
        <f t="shared" si="28"/>
        <v>6.3095999999999999E-2</v>
      </c>
      <c r="C58" s="325">
        <f t="shared" si="0"/>
        <v>1.0089902434928379</v>
      </c>
      <c r="D58" s="326">
        <f t="shared" si="1"/>
        <v>0.13359193437448127</v>
      </c>
      <c r="E58" s="326">
        <f t="shared" si="2"/>
        <v>1.0000000125734188</v>
      </c>
      <c r="F58" s="327">
        <f t="shared" si="3"/>
        <v>1.5857754254627879E-4</v>
      </c>
      <c r="G58" s="326">
        <f t="shared" si="4"/>
        <v>1</v>
      </c>
      <c r="H58" s="327">
        <f t="shared" si="5"/>
        <v>0</v>
      </c>
      <c r="I58" s="325">
        <f t="shared" si="6"/>
        <v>20.844101480077104</v>
      </c>
      <c r="J58" s="328">
        <f t="shared" si="7"/>
        <v>1.5228027012523868</v>
      </c>
      <c r="K58" s="336">
        <f t="shared" si="8"/>
        <v>1.0001084261309234</v>
      </c>
      <c r="L58" s="337">
        <f t="shared" si="9"/>
        <v>1.472523921537011E-2</v>
      </c>
      <c r="M58" s="325">
        <f t="shared" si="10"/>
        <v>1.0000001633917106</v>
      </c>
      <c r="N58" s="337">
        <f t="shared" si="11"/>
        <v>5.7164969773145229E-4</v>
      </c>
      <c r="O58" s="343">
        <f t="shared" si="12"/>
        <v>1.00000006721506</v>
      </c>
      <c r="P58" s="691">
        <f t="shared" si="13"/>
        <v>3.6664712276511757E-4</v>
      </c>
      <c r="Q58" s="336">
        <f t="shared" si="29"/>
        <v>4.156566436270495</v>
      </c>
      <c r="R58" s="692">
        <f t="shared" si="14"/>
        <v>6.1499650052176513E-4</v>
      </c>
      <c r="S58" s="329">
        <f t="shared" si="15"/>
        <v>0.99999996989108353</v>
      </c>
      <c r="T58" s="330">
        <f t="shared" si="16"/>
        <v>3.6510606183347337E-4</v>
      </c>
      <c r="U58" s="331">
        <f t="shared" si="17"/>
        <v>75.500527040026583</v>
      </c>
      <c r="V58" s="332">
        <f t="shared" si="18"/>
        <v>-94.119543576449729</v>
      </c>
      <c r="W58" s="334">
        <f t="shared" si="19"/>
        <v>85.880456423550271</v>
      </c>
      <c r="Y58" s="307">
        <f t="shared" si="20"/>
        <v>1000000000</v>
      </c>
      <c r="Z58" s="307">
        <f t="shared" si="21"/>
        <v>3981.1052159999995</v>
      </c>
      <c r="AB58" s="333">
        <f t="shared" si="22"/>
        <v>71.328501130293887</v>
      </c>
      <c r="AC58" s="334">
        <f t="shared" si="23"/>
        <v>-86.439226967332843</v>
      </c>
      <c r="AE58" s="333">
        <f t="shared" si="24"/>
        <v>28.587919680817141</v>
      </c>
      <c r="AF58" s="334">
        <f t="shared" si="25"/>
        <v>-7.6660872379104665</v>
      </c>
      <c r="AH58">
        <f t="shared" si="26"/>
        <v>0</v>
      </c>
      <c r="AI58">
        <f t="shared" si="30"/>
        <v>0</v>
      </c>
    </row>
    <row r="59" spans="1:35" x14ac:dyDescent="0.25">
      <c r="A59" s="335">
        <v>69.183000000000007</v>
      </c>
      <c r="B59" s="352">
        <f t="shared" si="28"/>
        <v>6.9183000000000008E-2</v>
      </c>
      <c r="C59" s="325">
        <f t="shared" si="0"/>
        <v>1.0107988072255789</v>
      </c>
      <c r="D59" s="326">
        <f t="shared" si="1"/>
        <v>0.14630458539706803</v>
      </c>
      <c r="E59" s="326">
        <f t="shared" si="2"/>
        <v>1.0000000151164044</v>
      </c>
      <c r="F59" s="327">
        <f t="shared" si="3"/>
        <v>1.7387584169170834E-4</v>
      </c>
      <c r="G59" s="326">
        <f t="shared" si="4"/>
        <v>1</v>
      </c>
      <c r="H59" s="327">
        <f t="shared" si="5"/>
        <v>0</v>
      </c>
      <c r="I59" s="325">
        <f t="shared" si="6"/>
        <v>22.850549438614522</v>
      </c>
      <c r="J59" s="328">
        <f t="shared" si="7"/>
        <v>1.5270197220952018</v>
      </c>
      <c r="K59" s="336">
        <f t="shared" si="8"/>
        <v>1.0001303539887314</v>
      </c>
      <c r="L59" s="337">
        <f t="shared" si="9"/>
        <v>1.6145577113934589E-2</v>
      </c>
      <c r="M59" s="325">
        <f t="shared" si="10"/>
        <v>1.0000001964378347</v>
      </c>
      <c r="N59" s="337">
        <f t="shared" si="11"/>
        <v>6.2679789791545272E-4</v>
      </c>
      <c r="O59" s="343">
        <f t="shared" si="12"/>
        <v>1.0000000808093685</v>
      </c>
      <c r="P59" s="691">
        <f t="shared" si="13"/>
        <v>4.0201831596888249E-4</v>
      </c>
      <c r="Q59" s="336">
        <f t="shared" si="29"/>
        <v>4.1565665939665131</v>
      </c>
      <c r="R59" s="692">
        <f t="shared" si="14"/>
        <v>6.7432645213390285E-4</v>
      </c>
      <c r="S59" s="329">
        <f t="shared" si="15"/>
        <v>0.99999996380152789</v>
      </c>
      <c r="T59" s="330">
        <f t="shared" si="16"/>
        <v>4.0032859362149889E-4</v>
      </c>
      <c r="U59" s="331">
        <f t="shared" si="17"/>
        <v>74.686892613399309</v>
      </c>
      <c r="V59" s="332">
        <f t="shared" si="18"/>
        <v>-95.013837026128186</v>
      </c>
      <c r="W59" s="334">
        <f t="shared" si="19"/>
        <v>84.986162973871814</v>
      </c>
      <c r="Y59" s="307">
        <f t="shared" si="20"/>
        <v>1000000000</v>
      </c>
      <c r="Z59" s="307">
        <f t="shared" si="21"/>
        <v>4786.2874890000012</v>
      </c>
      <c r="AB59" s="333">
        <f t="shared" si="22"/>
        <v>70.530421919200862</v>
      </c>
      <c r="AC59" s="334">
        <f t="shared" si="23"/>
        <v>-86.602624855979613</v>
      </c>
      <c r="AE59" s="333">
        <f t="shared" si="24"/>
        <v>28.572364676738282</v>
      </c>
      <c r="AF59" s="334">
        <f t="shared" si="25"/>
        <v>-8.3956100632014152</v>
      </c>
      <c r="AH59">
        <f t="shared" si="26"/>
        <v>0</v>
      </c>
      <c r="AI59">
        <f t="shared" si="30"/>
        <v>0</v>
      </c>
    </row>
    <row r="60" spans="1:35" x14ac:dyDescent="0.25">
      <c r="A60" s="335">
        <v>75.858000000000004</v>
      </c>
      <c r="B60" s="352">
        <f t="shared" si="28"/>
        <v>7.5858000000000009E-2</v>
      </c>
      <c r="C60" s="325">
        <f t="shared" si="0"/>
        <v>1.0129691431939647</v>
      </c>
      <c r="D60" s="326">
        <f t="shared" si="1"/>
        <v>0.16019058355146631</v>
      </c>
      <c r="E60" s="326">
        <f t="shared" si="2"/>
        <v>1.0000000181740825</v>
      </c>
      <c r="F60" s="327">
        <f t="shared" si="3"/>
        <v>1.9065194588501058E-4</v>
      </c>
      <c r="G60" s="326">
        <f t="shared" si="4"/>
        <v>1</v>
      </c>
      <c r="H60" s="327">
        <f t="shared" si="5"/>
        <v>0</v>
      </c>
      <c r="I60" s="325">
        <f t="shared" si="6"/>
        <v>25.051207571412718</v>
      </c>
      <c r="J60" s="328">
        <f t="shared" si="7"/>
        <v>1.5308674824327999</v>
      </c>
      <c r="K60" s="336">
        <f t="shared" si="8"/>
        <v>1.0001567193405894</v>
      </c>
      <c r="L60" s="337">
        <f t="shared" si="9"/>
        <v>1.7703043572576033E-2</v>
      </c>
      <c r="M60" s="325">
        <f t="shared" si="10"/>
        <v>1.0000002361723903</v>
      </c>
      <c r="N60" s="337">
        <f t="shared" si="11"/>
        <v>6.8727337179000424E-4</v>
      </c>
      <c r="O60" s="343">
        <f t="shared" si="12"/>
        <v>1.0000000971551228</v>
      </c>
      <c r="P60" s="691">
        <f t="shared" si="13"/>
        <v>4.4080634087050432E-4</v>
      </c>
      <c r="Q60" s="336">
        <f t="shared" si="29"/>
        <v>4.1565667835797111</v>
      </c>
      <c r="R60" s="692">
        <f t="shared" si="14"/>
        <v>7.393876307278535E-4</v>
      </c>
      <c r="S60" s="329">
        <f t="shared" si="15"/>
        <v>0.99999995647946549</v>
      </c>
      <c r="T60" s="330">
        <f t="shared" si="16"/>
        <v>4.3895359902537234E-4</v>
      </c>
      <c r="U60" s="331">
        <f t="shared" si="17"/>
        <v>73.869850801229632</v>
      </c>
      <c r="V60" s="332">
        <f t="shared" si="18"/>
        <v>-95.946892468941186</v>
      </c>
      <c r="W60" s="334">
        <f t="shared" si="19"/>
        <v>84.053107531058814</v>
      </c>
      <c r="Y60" s="307">
        <f t="shared" si="20"/>
        <v>1000000000</v>
      </c>
      <c r="Z60" s="307">
        <f t="shared" si="21"/>
        <v>5754.4361640000006</v>
      </c>
      <c r="AB60" s="333">
        <f t="shared" si="22"/>
        <v>69.732010179681609</v>
      </c>
      <c r="AC60" s="334">
        <f t="shared" si="23"/>
        <v>-86.737314018659447</v>
      </c>
      <c r="AE60" s="333">
        <f t="shared" si="24"/>
        <v>28.553734858341148</v>
      </c>
      <c r="AF60" s="334">
        <f t="shared" si="25"/>
        <v>-9.1924710025117982</v>
      </c>
      <c r="AH60">
        <f t="shared" si="26"/>
        <v>0</v>
      </c>
      <c r="AI60">
        <f t="shared" si="30"/>
        <v>0</v>
      </c>
    </row>
    <row r="61" spans="1:35" x14ac:dyDescent="0.25">
      <c r="A61" s="335">
        <v>83.176000000000002</v>
      </c>
      <c r="B61" s="352">
        <f t="shared" si="28"/>
        <v>8.3176E-2</v>
      </c>
      <c r="C61" s="325">
        <f t="shared" si="0"/>
        <v>1.015571963589371</v>
      </c>
      <c r="D61" s="326">
        <f t="shared" si="1"/>
        <v>0.17534275645295078</v>
      </c>
      <c r="E61" s="326">
        <f t="shared" si="2"/>
        <v>1.0000000218497151</v>
      </c>
      <c r="F61" s="327">
        <f t="shared" si="3"/>
        <v>2.090440851600842E-4</v>
      </c>
      <c r="G61" s="326">
        <f t="shared" si="4"/>
        <v>1</v>
      </c>
      <c r="H61" s="327">
        <f t="shared" si="5"/>
        <v>0</v>
      </c>
      <c r="I61" s="325">
        <f t="shared" si="6"/>
        <v>27.464208802435529</v>
      </c>
      <c r="J61" s="328">
        <f t="shared" si="7"/>
        <v>1.5343772513508291</v>
      </c>
      <c r="K61" s="336">
        <f t="shared" si="8"/>
        <v>1.0001884121908333</v>
      </c>
      <c r="L61" s="337">
        <f t="shared" si="9"/>
        <v>1.9410441157316258E-2</v>
      </c>
      <c r="M61" s="325">
        <f t="shared" si="10"/>
        <v>1.0000002839372684</v>
      </c>
      <c r="N61" s="337">
        <f t="shared" si="11"/>
        <v>7.5357441735476025E-4</v>
      </c>
      <c r="O61" s="343">
        <f t="shared" si="12"/>
        <v>1.0000001168043418</v>
      </c>
      <c r="P61" s="691">
        <f t="shared" si="13"/>
        <v>4.8333079870230088E-4</v>
      </c>
      <c r="Q61" s="336">
        <f t="shared" si="29"/>
        <v>4.1565670115135855</v>
      </c>
      <c r="R61" s="692">
        <f t="shared" si="14"/>
        <v>8.1071611872543222E-4</v>
      </c>
      <c r="S61" s="329">
        <f t="shared" si="15"/>
        <v>0.99999994767762024</v>
      </c>
      <c r="T61" s="330">
        <f t="shared" si="16"/>
        <v>4.8129933706426525E-4</v>
      </c>
      <c r="U61" s="331">
        <f t="shared" si="17"/>
        <v>73.049067150866392</v>
      </c>
      <c r="V61" s="332">
        <f t="shared" si="18"/>
        <v>-96.925137857842316</v>
      </c>
      <c r="W61" s="334">
        <f t="shared" si="19"/>
        <v>83.074862142157684</v>
      </c>
      <c r="Y61" s="307">
        <f t="shared" si="20"/>
        <v>1000000000</v>
      </c>
      <c r="Z61" s="307">
        <f t="shared" si="21"/>
        <v>6918.2469760000004</v>
      </c>
      <c r="AB61" s="333">
        <f t="shared" si="22"/>
        <v>68.933516462815916</v>
      </c>
      <c r="AC61" s="334">
        <f t="shared" si="23"/>
        <v>-86.844381059382783</v>
      </c>
      <c r="AE61" s="333">
        <f t="shared" si="24"/>
        <v>28.531445230481253</v>
      </c>
      <c r="AF61" s="334">
        <f t="shared" si="25"/>
        <v>-10.061999001326249</v>
      </c>
      <c r="AH61">
        <f t="shared" si="26"/>
        <v>0</v>
      </c>
      <c r="AI61">
        <f t="shared" si="30"/>
        <v>0</v>
      </c>
    </row>
    <row r="62" spans="1:35" x14ac:dyDescent="0.25">
      <c r="A62" s="335">
        <v>91.201000000000008</v>
      </c>
      <c r="B62" s="352">
        <f t="shared" si="28"/>
        <v>9.1201000000000004E-2</v>
      </c>
      <c r="C62" s="325">
        <f t="shared" si="0"/>
        <v>1.018692809961917</v>
      </c>
      <c r="D62" s="326">
        <f t="shared" si="1"/>
        <v>0.19186555741150804</v>
      </c>
      <c r="E62" s="326">
        <f t="shared" si="2"/>
        <v>1.0000000262693252</v>
      </c>
      <c r="F62" s="327">
        <f t="shared" si="3"/>
        <v>2.2921310900393758E-4</v>
      </c>
      <c r="G62" s="326">
        <f t="shared" si="4"/>
        <v>1</v>
      </c>
      <c r="H62" s="327">
        <f t="shared" si="5"/>
        <v>0</v>
      </c>
      <c r="I62" s="325">
        <f t="shared" si="6"/>
        <v>30.110656301886035</v>
      </c>
      <c r="J62" s="328">
        <f t="shared" si="7"/>
        <v>1.5375793849969261</v>
      </c>
      <c r="K62" s="336">
        <f t="shared" si="8"/>
        <v>1.0002265185976809</v>
      </c>
      <c r="L62" s="337">
        <f t="shared" si="9"/>
        <v>2.1282661818884056E-2</v>
      </c>
      <c r="M62" s="325">
        <f t="shared" si="10"/>
        <v>1.0000003413701368</v>
      </c>
      <c r="N62" s="337">
        <f t="shared" si="11"/>
        <v>8.26280871954926E-4</v>
      </c>
      <c r="O62" s="343">
        <f t="shared" si="12"/>
        <v>1.0000001404307193</v>
      </c>
      <c r="P62" s="691">
        <f t="shared" si="13"/>
        <v>5.299635889937502E-4</v>
      </c>
      <c r="Q62" s="336">
        <f t="shared" si="29"/>
        <v>4.1565672855830806</v>
      </c>
      <c r="R62" s="692">
        <f t="shared" si="14"/>
        <v>8.889357207241829E-4</v>
      </c>
      <c r="S62" s="329">
        <f t="shared" si="15"/>
        <v>0.9999999370942122</v>
      </c>
      <c r="T62" s="330">
        <f t="shared" si="16"/>
        <v>5.2773614560630425E-4</v>
      </c>
      <c r="U62" s="331">
        <f t="shared" si="17"/>
        <v>72.223683988913237</v>
      </c>
      <c r="V62" s="332">
        <f t="shared" si="18"/>
        <v>-97.955503618004329</v>
      </c>
      <c r="W62" s="334">
        <f t="shared" si="19"/>
        <v>82.044496381995671</v>
      </c>
      <c r="Y62" s="307">
        <f t="shared" si="20"/>
        <v>1000000000</v>
      </c>
      <c r="Z62" s="307">
        <f t="shared" si="21"/>
        <v>8317.6224010000005</v>
      </c>
      <c r="AB62" s="333">
        <f t="shared" si="22"/>
        <v>68.134784295402241</v>
      </c>
      <c r="AC62" s="334">
        <f t="shared" si="23"/>
        <v>-86.924745233599722</v>
      </c>
      <c r="AE62" s="333">
        <f t="shared" si="24"/>
        <v>28.504794603442868</v>
      </c>
      <c r="AF62" s="334">
        <f t="shared" si="25"/>
        <v>-11.010190796270123</v>
      </c>
      <c r="AH62">
        <f t="shared" si="26"/>
        <v>0</v>
      </c>
      <c r="AI62">
        <f t="shared" si="30"/>
        <v>0</v>
      </c>
    </row>
    <row r="63" spans="1:35" x14ac:dyDescent="0.25">
      <c r="A63" s="335">
        <v>100</v>
      </c>
      <c r="B63" s="352">
        <f t="shared" si="28"/>
        <v>0.1</v>
      </c>
      <c r="C63" s="325">
        <f t="shared" si="0"/>
        <v>1.0224321891068182</v>
      </c>
      <c r="D63" s="326">
        <f t="shared" si="1"/>
        <v>0.20986055593144634</v>
      </c>
      <c r="E63" s="326">
        <f t="shared" si="2"/>
        <v>1.0000000315827335</v>
      </c>
      <c r="F63" s="327">
        <f t="shared" si="3"/>
        <v>2.5132740670826237E-4</v>
      </c>
      <c r="G63" s="326">
        <f t="shared" si="4"/>
        <v>1</v>
      </c>
      <c r="H63" s="327">
        <f t="shared" si="5"/>
        <v>0</v>
      </c>
      <c r="I63" s="325">
        <f t="shared" si="6"/>
        <v>33.012645161939979</v>
      </c>
      <c r="J63" s="328">
        <f t="shared" si="7"/>
        <v>1.5405002694308656</v>
      </c>
      <c r="K63" s="336">
        <f t="shared" si="8"/>
        <v>1.000272329517925</v>
      </c>
      <c r="L63" s="337">
        <f t="shared" si="9"/>
        <v>2.3335283562814779E-2</v>
      </c>
      <c r="M63" s="325">
        <f t="shared" si="10"/>
        <v>1.0000004104179159</v>
      </c>
      <c r="N63" s="337">
        <f t="shared" si="11"/>
        <v>9.0599975210765014E-4</v>
      </c>
      <c r="O63" s="343">
        <f t="shared" si="12"/>
        <v>1.0000001688351676</v>
      </c>
      <c r="P63" s="691">
        <f t="shared" si="13"/>
        <v>5.8109404387912688E-4</v>
      </c>
      <c r="Q63" s="336">
        <f t="shared" si="29"/>
        <v>4.156567615078897</v>
      </c>
      <c r="R63" s="692">
        <f t="shared" si="14"/>
        <v>9.7469948129665107E-4</v>
      </c>
      <c r="S63" s="329">
        <f t="shared" si="15"/>
        <v>0.9999999243704738</v>
      </c>
      <c r="T63" s="330">
        <f t="shared" si="16"/>
        <v>5.7865172232305956E-4</v>
      </c>
      <c r="U63" s="331">
        <f t="shared" si="17"/>
        <v>71.393053408706834</v>
      </c>
      <c r="V63" s="332">
        <f t="shared" si="18"/>
        <v>-99.044490963790182</v>
      </c>
      <c r="W63" s="334">
        <f t="shared" si="19"/>
        <v>80.955509036209818</v>
      </c>
      <c r="Y63" s="307">
        <f t="shared" si="20"/>
        <v>1000000000</v>
      </c>
      <c r="Z63" s="307">
        <f t="shared" si="21"/>
        <v>10000</v>
      </c>
      <c r="AB63" s="333">
        <f t="shared" si="22"/>
        <v>67.335979460250087</v>
      </c>
      <c r="AC63" s="334">
        <f t="shared" si="23"/>
        <v>-86.979060576688241</v>
      </c>
      <c r="AE63" s="333">
        <f t="shared" si="24"/>
        <v>28.472969300211084</v>
      </c>
      <c r="AF63" s="334">
        <f t="shared" si="25"/>
        <v>-12.042878456718759</v>
      </c>
      <c r="AH63">
        <f t="shared" si="26"/>
        <v>0</v>
      </c>
      <c r="AI63">
        <f t="shared" si="30"/>
        <v>0</v>
      </c>
    </row>
    <row r="64" spans="1:35" x14ac:dyDescent="0.25">
      <c r="A64" s="335">
        <v>109.65</v>
      </c>
      <c r="B64" s="352">
        <f t="shared" si="28"/>
        <v>0.10965000000000001</v>
      </c>
      <c r="C64" s="325">
        <f t="shared" si="0"/>
        <v>1.0269109010892932</v>
      </c>
      <c r="D64" s="326">
        <f t="shared" si="1"/>
        <v>0.22943820736681025</v>
      </c>
      <c r="E64" s="326">
        <f t="shared" si="2"/>
        <v>1.0000000379723073</v>
      </c>
      <c r="F64" s="327">
        <f t="shared" si="3"/>
        <v>2.7558050028171508E-4</v>
      </c>
      <c r="G64" s="326">
        <f t="shared" si="4"/>
        <v>1</v>
      </c>
      <c r="H64" s="327">
        <f t="shared" si="5"/>
        <v>0</v>
      </c>
      <c r="I64" s="325">
        <f t="shared" si="6"/>
        <v>36.195570817915218</v>
      </c>
      <c r="J64" s="328">
        <f t="shared" si="7"/>
        <v>1.5431651212084414</v>
      </c>
      <c r="K64" s="336">
        <f t="shared" si="8"/>
        <v>1.0003274160985489</v>
      </c>
      <c r="L64" s="337">
        <f t="shared" si="9"/>
        <v>2.5586198978487566E-2</v>
      </c>
      <c r="M64" s="325">
        <f t="shared" si="10"/>
        <v>1.0000004934504674</v>
      </c>
      <c r="N64" s="337">
        <f t="shared" si="11"/>
        <v>9.9342867319477681E-4</v>
      </c>
      <c r="O64" s="343">
        <f t="shared" si="12"/>
        <v>1.000000202992587</v>
      </c>
      <c r="P64" s="691">
        <f t="shared" si="13"/>
        <v>6.3716960460408483E-4</v>
      </c>
      <c r="Q64" s="336">
        <f t="shared" si="29"/>
        <v>4.1565680113100045</v>
      </c>
      <c r="R64" s="692">
        <f t="shared" si="14"/>
        <v>1.0687579135974772E-3</v>
      </c>
      <c r="S64" s="329">
        <f t="shared" si="15"/>
        <v>0.99999990906970082</v>
      </c>
      <c r="T64" s="330">
        <f t="shared" si="16"/>
        <v>6.3449163039905028E-4</v>
      </c>
      <c r="U64" s="331">
        <f t="shared" si="17"/>
        <v>70.556063549991407</v>
      </c>
      <c r="V64" s="332">
        <f t="shared" si="18"/>
        <v>-100.19891992923796</v>
      </c>
      <c r="W64" s="334">
        <f t="shared" si="19"/>
        <v>79.80108007076204</v>
      </c>
      <c r="Y64" s="307">
        <f t="shared" si="20"/>
        <v>1000000000</v>
      </c>
      <c r="Z64" s="307">
        <f t="shared" si="21"/>
        <v>12023.122500000001</v>
      </c>
      <c r="AB64" s="333">
        <f t="shared" si="22"/>
        <v>66.536954949053097</v>
      </c>
      <c r="AC64" s="334">
        <f t="shared" si="23"/>
        <v>-87.007786691430766</v>
      </c>
      <c r="AE64" s="333">
        <f t="shared" si="24"/>
        <v>28.435004484000665</v>
      </c>
      <c r="AF64" s="334">
        <f t="shared" si="25"/>
        <v>-13.166405049186427</v>
      </c>
      <c r="AH64">
        <f t="shared" si="26"/>
        <v>0</v>
      </c>
      <c r="AI64">
        <f t="shared" si="30"/>
        <v>0</v>
      </c>
    </row>
    <row r="65" spans="1:35" x14ac:dyDescent="0.25">
      <c r="A65" s="335">
        <v>120.23</v>
      </c>
      <c r="B65" s="352">
        <f t="shared" si="28"/>
        <v>0.12023</v>
      </c>
      <c r="C65" s="325">
        <f t="shared" si="0"/>
        <v>1.0322693379863301</v>
      </c>
      <c r="D65" s="326">
        <f t="shared" si="1"/>
        <v>0.25069831241543838</v>
      </c>
      <c r="E65" s="326">
        <f t="shared" si="2"/>
        <v>1.0000000456536398</v>
      </c>
      <c r="F65" s="327">
        <f t="shared" si="3"/>
        <v>3.0217093825079795E-4</v>
      </c>
      <c r="G65" s="326">
        <f t="shared" si="4"/>
        <v>1</v>
      </c>
      <c r="H65" s="327">
        <f t="shared" si="5"/>
        <v>0</v>
      </c>
      <c r="I65" s="325">
        <f t="shared" si="6"/>
        <v>39.685490473859247</v>
      </c>
      <c r="J65" s="328">
        <f t="shared" si="7"/>
        <v>1.5455955331907925</v>
      </c>
      <c r="K65" s="336">
        <f t="shared" si="8"/>
        <v>1.000393635333497</v>
      </c>
      <c r="L65" s="337">
        <f t="shared" si="9"/>
        <v>2.8053743168258122E-2</v>
      </c>
      <c r="M65" s="325">
        <f t="shared" si="10"/>
        <v>1.0000005932694225</v>
      </c>
      <c r="N65" s="337">
        <f t="shared" si="11"/>
        <v>1.0892833691743316E-3</v>
      </c>
      <c r="O65" s="343">
        <f t="shared" si="12"/>
        <v>1.0000002440554956</v>
      </c>
      <c r="P65" s="691">
        <f t="shared" si="13"/>
        <v>6.9864933392079062E-4</v>
      </c>
      <c r="Q65" s="336">
        <f t="shared" si="29"/>
        <v>4.1565684876457789</v>
      </c>
      <c r="R65" s="692">
        <f t="shared" si="14"/>
        <v>1.1718810230255984E-3</v>
      </c>
      <c r="S65" s="329">
        <f t="shared" si="15"/>
        <v>0.99999989067562456</v>
      </c>
      <c r="T65" s="330">
        <f t="shared" si="16"/>
        <v>6.9571300648856276E-4</v>
      </c>
      <c r="U65" s="331">
        <f t="shared" si="17"/>
        <v>69.711905526659578</v>
      </c>
      <c r="V65" s="332">
        <f t="shared" si="18"/>
        <v>-101.42476896920677</v>
      </c>
      <c r="W65" s="334">
        <f t="shared" si="19"/>
        <v>78.575231030793233</v>
      </c>
      <c r="Y65" s="307">
        <f t="shared" si="20"/>
        <v>1000000000</v>
      </c>
      <c r="Z65" s="307">
        <f t="shared" si="21"/>
        <v>14455.252900000001</v>
      </c>
      <c r="AB65" s="333">
        <f t="shared" si="22"/>
        <v>65.73800260526636</v>
      </c>
      <c r="AC65" s="334">
        <f t="shared" si="23"/>
        <v>-87.011151242191602</v>
      </c>
      <c r="AE65" s="333">
        <f t="shared" si="24"/>
        <v>28.389799443176216</v>
      </c>
      <c r="AF65" s="334">
        <f t="shared" si="25"/>
        <v>-14.386503548466637</v>
      </c>
      <c r="AH65">
        <f t="shared" si="26"/>
        <v>0</v>
      </c>
      <c r="AI65">
        <f t="shared" si="30"/>
        <v>0</v>
      </c>
    </row>
    <row r="66" spans="1:35" x14ac:dyDescent="0.25">
      <c r="A66" s="335">
        <v>131.83000000000001</v>
      </c>
      <c r="B66" s="352">
        <f t="shared" si="28"/>
        <v>0.13183</v>
      </c>
      <c r="C66" s="325">
        <f t="shared" si="0"/>
        <v>1.0386746338976289</v>
      </c>
      <c r="D66" s="326">
        <f t="shared" si="1"/>
        <v>0.27374437271433916</v>
      </c>
      <c r="E66" s="326">
        <f t="shared" si="2"/>
        <v>1.0000000548881023</v>
      </c>
      <c r="F66" s="327">
        <f t="shared" si="3"/>
        <v>3.313249151157362E-4</v>
      </c>
      <c r="G66" s="326">
        <f t="shared" si="4"/>
        <v>1</v>
      </c>
      <c r="H66" s="327">
        <f t="shared" si="5"/>
        <v>0</v>
      </c>
      <c r="I66" s="325">
        <f t="shared" si="6"/>
        <v>43.512091519685065</v>
      </c>
      <c r="J66" s="328">
        <f t="shared" si="7"/>
        <v>1.5478121857062566</v>
      </c>
      <c r="K66" s="336">
        <f t="shared" si="8"/>
        <v>1.000473237991899</v>
      </c>
      <c r="L66" s="337">
        <f t="shared" si="9"/>
        <v>3.0758785370581354E-2</v>
      </c>
      <c r="M66" s="325">
        <f t="shared" si="10"/>
        <v>1.0000007132712989</v>
      </c>
      <c r="N66" s="337">
        <f t="shared" si="11"/>
        <v>1.1943792320557294E-3</v>
      </c>
      <c r="O66" s="343">
        <f t="shared" si="12"/>
        <v>1.0000002934211336</v>
      </c>
      <c r="P66" s="691">
        <f t="shared" si="13"/>
        <v>7.660562144192922E-4</v>
      </c>
      <c r="Q66" s="336">
        <f t="shared" si="29"/>
        <v>4.1565690602943874</v>
      </c>
      <c r="R66" s="692">
        <f t="shared" si="14"/>
        <v>1.2849460295594692E-3</v>
      </c>
      <c r="S66" s="329">
        <f t="shared" si="15"/>
        <v>0.99999986856235457</v>
      </c>
      <c r="T66" s="330">
        <f t="shared" si="16"/>
        <v>7.6283663952482657E-4</v>
      </c>
      <c r="U66" s="331">
        <f t="shared" si="17"/>
        <v>68.85930100404309</v>
      </c>
      <c r="V66" s="332">
        <f t="shared" si="18"/>
        <v>-102.72804136077012</v>
      </c>
      <c r="W66" s="334">
        <f t="shared" si="19"/>
        <v>77.271958639229879</v>
      </c>
      <c r="Y66" s="307">
        <f t="shared" si="20"/>
        <v>1000000000</v>
      </c>
      <c r="Z66" s="307">
        <f t="shared" si="21"/>
        <v>17379.148900000004</v>
      </c>
      <c r="AB66" s="333">
        <f t="shared" si="22"/>
        <v>64.939128540559352</v>
      </c>
      <c r="AC66" s="334">
        <f t="shared" si="23"/>
        <v>-86.989190123739164</v>
      </c>
      <c r="AE66" s="333">
        <f t="shared" si="24"/>
        <v>28.336069753133447</v>
      </c>
      <c r="AF66" s="334">
        <f t="shared" si="25"/>
        <v>-15.709121040557145</v>
      </c>
      <c r="AH66">
        <f t="shared" si="26"/>
        <v>0</v>
      </c>
      <c r="AI66">
        <f t="shared" si="30"/>
        <v>0</v>
      </c>
    </row>
    <row r="67" spans="1:35" x14ac:dyDescent="0.25">
      <c r="A67" s="335">
        <v>144.54</v>
      </c>
      <c r="B67" s="352">
        <f t="shared" si="28"/>
        <v>0.14454</v>
      </c>
      <c r="C67" s="325">
        <f t="shared" si="0"/>
        <v>1.0463178752999445</v>
      </c>
      <c r="D67" s="326">
        <f t="shared" si="1"/>
        <v>0.29865703367468455</v>
      </c>
      <c r="E67" s="326">
        <f t="shared" si="2"/>
        <v>1.0000000659820507</v>
      </c>
      <c r="F67" s="327">
        <f t="shared" si="3"/>
        <v>3.6326862532532747E-4</v>
      </c>
      <c r="G67" s="326">
        <f t="shared" si="4"/>
        <v>1</v>
      </c>
      <c r="H67" s="327">
        <f t="shared" si="5"/>
        <v>0</v>
      </c>
      <c r="I67" s="325">
        <f t="shared" si="6"/>
        <v>47.705062901019929</v>
      </c>
      <c r="J67" s="328">
        <f t="shared" si="7"/>
        <v>1.5498326556694968</v>
      </c>
      <c r="K67" s="336">
        <f t="shared" si="8"/>
        <v>1.0005688613668871</v>
      </c>
      <c r="L67" s="337">
        <f t="shared" si="9"/>
        <v>3.372215379683189E-2</v>
      </c>
      <c r="M67" s="325">
        <f t="shared" si="10"/>
        <v>1.0000008574371857</v>
      </c>
      <c r="N67" s="337">
        <f t="shared" si="11"/>
        <v>1.3095316514392654E-3</v>
      </c>
      <c r="O67" s="343">
        <f t="shared" si="12"/>
        <v>1.000000352727219</v>
      </c>
      <c r="P67" s="691">
        <f t="shared" si="13"/>
        <v>8.3991322805399232E-4</v>
      </c>
      <c r="Q67" s="336">
        <f t="shared" si="29"/>
        <v>4.1565697482535713</v>
      </c>
      <c r="R67" s="692">
        <f t="shared" si="14"/>
        <v>1.4088301502141061E-3</v>
      </c>
      <c r="S67" s="329">
        <f t="shared" si="15"/>
        <v>0.99999984199627956</v>
      </c>
      <c r="T67" s="330">
        <f t="shared" si="16"/>
        <v>8.3638331918021351E-4</v>
      </c>
      <c r="U67" s="331">
        <f t="shared" si="17"/>
        <v>67.997356641130281</v>
      </c>
      <c r="V67" s="332">
        <f t="shared" si="18"/>
        <v>-104.11325535367058</v>
      </c>
      <c r="W67" s="334">
        <f t="shared" si="19"/>
        <v>75.886744646329419</v>
      </c>
      <c r="Y67" s="307">
        <f t="shared" si="20"/>
        <v>1000000000</v>
      </c>
      <c r="Z67" s="307">
        <f t="shared" si="21"/>
        <v>20891.811599999997</v>
      </c>
      <c r="AB67" s="333">
        <f t="shared" si="22"/>
        <v>64.140867158825515</v>
      </c>
      <c r="AC67" s="334">
        <f t="shared" si="23"/>
        <v>-86.941763768876498</v>
      </c>
      <c r="AE67" s="333">
        <f t="shared" si="24"/>
        <v>28.272387694441381</v>
      </c>
      <c r="AF67" s="334">
        <f t="shared" si="25"/>
        <v>-17.138895046223482</v>
      </c>
      <c r="AH67">
        <f t="shared" si="26"/>
        <v>0</v>
      </c>
      <c r="AI67">
        <f t="shared" si="30"/>
        <v>0</v>
      </c>
    </row>
    <row r="68" spans="1:35" x14ac:dyDescent="0.25">
      <c r="A68" s="335">
        <v>158.49</v>
      </c>
      <c r="B68" s="352">
        <f t="shared" si="28"/>
        <v>0.15849000000000002</v>
      </c>
      <c r="C68" s="325">
        <f t="shared" si="0"/>
        <v>1.0554426516473818</v>
      </c>
      <c r="D68" s="326">
        <f t="shared" si="1"/>
        <v>0.32556625614570039</v>
      </c>
      <c r="E68" s="326">
        <f t="shared" si="2"/>
        <v>1.0000000793329193</v>
      </c>
      <c r="F68" s="327">
        <f t="shared" si="3"/>
        <v>3.9832879421174269E-4</v>
      </c>
      <c r="G68" s="326">
        <f t="shared" si="4"/>
        <v>1</v>
      </c>
      <c r="H68" s="327">
        <f t="shared" si="5"/>
        <v>0</v>
      </c>
      <c r="I68" s="325">
        <f t="shared" si="6"/>
        <v>52.307291140429626</v>
      </c>
      <c r="J68" s="328">
        <f t="shared" si="7"/>
        <v>1.5516773683624689</v>
      </c>
      <c r="K68" s="336">
        <f t="shared" si="8"/>
        <v>1.0006839259658487</v>
      </c>
      <c r="L68" s="337">
        <f t="shared" si="9"/>
        <v>3.6973947519813977E-2</v>
      </c>
      <c r="M68" s="325">
        <f t="shared" si="10"/>
        <v>1.0000010309317302</v>
      </c>
      <c r="N68" s="337">
        <f t="shared" si="11"/>
        <v>1.435918413110798E-3</v>
      </c>
      <c r="O68" s="343">
        <f t="shared" si="12"/>
        <v>1.0000004240983558</v>
      </c>
      <c r="P68" s="691">
        <f t="shared" si="13"/>
        <v>9.2097579341657071E-4</v>
      </c>
      <c r="Q68" s="336">
        <f t="shared" si="29"/>
        <v>4.1565705761690017</v>
      </c>
      <c r="R68" s="692">
        <f t="shared" si="14"/>
        <v>1.5448004772269141E-3</v>
      </c>
      <c r="S68" s="329">
        <f t="shared" si="15"/>
        <v>0.99999981002568872</v>
      </c>
      <c r="T68" s="330">
        <f t="shared" si="16"/>
        <v>9.1710529695591351E-4</v>
      </c>
      <c r="U68" s="331">
        <f t="shared" si="17"/>
        <v>67.122978181207188</v>
      </c>
      <c r="V68" s="332">
        <f t="shared" si="18"/>
        <v>-105.58742406843983</v>
      </c>
      <c r="W68" s="334">
        <f t="shared" si="19"/>
        <v>74.41257593156017</v>
      </c>
      <c r="Y68" s="307">
        <f t="shared" si="20"/>
        <v>1000000000</v>
      </c>
      <c r="Z68" s="307">
        <f t="shared" si="21"/>
        <v>25119.080100000003</v>
      </c>
      <c r="AB68" s="333">
        <f t="shared" si="22"/>
        <v>63.341909328633214</v>
      </c>
      <c r="AC68" s="334">
        <f t="shared" si="23"/>
        <v>-86.868385392370257</v>
      </c>
      <c r="AE68" s="333">
        <f t="shared" si="24"/>
        <v>28.196968174864963</v>
      </c>
      <c r="AF68" s="334">
        <f t="shared" si="25"/>
        <v>-18.683296154490307</v>
      </c>
      <c r="AH68">
        <f t="shared" si="26"/>
        <v>0</v>
      </c>
      <c r="AI68">
        <f t="shared" si="30"/>
        <v>0</v>
      </c>
    </row>
    <row r="69" spans="1:35" x14ac:dyDescent="0.25">
      <c r="A69" s="335">
        <v>173.78</v>
      </c>
      <c r="B69" s="352">
        <f t="shared" si="28"/>
        <v>0.17377999999999999</v>
      </c>
      <c r="C69" s="325">
        <f t="shared" si="0"/>
        <v>1.0663056665826438</v>
      </c>
      <c r="D69" s="326">
        <f t="shared" si="1"/>
        <v>0.35450799175874353</v>
      </c>
      <c r="E69" s="326">
        <f t="shared" si="2"/>
        <v>1.0000000953782364</v>
      </c>
      <c r="F69" s="327">
        <f t="shared" si="3"/>
        <v>4.3675674880220785E-4</v>
      </c>
      <c r="G69" s="326">
        <f t="shared" si="4"/>
        <v>1</v>
      </c>
      <c r="H69" s="327">
        <f t="shared" si="5"/>
        <v>0</v>
      </c>
      <c r="I69" s="325">
        <f t="shared" si="6"/>
        <v>57.351767294399131</v>
      </c>
      <c r="J69" s="328">
        <f t="shared" si="7"/>
        <v>1.5533591888546807</v>
      </c>
      <c r="K69" s="336">
        <f t="shared" si="8"/>
        <v>1.0008221951940726</v>
      </c>
      <c r="L69" s="337">
        <f t="shared" si="9"/>
        <v>4.0537199004954033E-2</v>
      </c>
      <c r="M69" s="325">
        <f t="shared" si="10"/>
        <v>1.0000012394405948</v>
      </c>
      <c r="N69" s="337">
        <f t="shared" si="11"/>
        <v>1.5744454990456098E-3</v>
      </c>
      <c r="O69" s="343">
        <f t="shared" si="12"/>
        <v>1.0000005098734819</v>
      </c>
      <c r="P69" s="691">
        <f t="shared" si="13"/>
        <v>1.0098249998605005E-3</v>
      </c>
      <c r="Q69" s="336">
        <f t="shared" si="29"/>
        <v>4.1565715711726314</v>
      </c>
      <c r="R69" s="692">
        <f t="shared" si="14"/>
        <v>1.6938316882120772E-3</v>
      </c>
      <c r="S69" s="329">
        <f t="shared" si="15"/>
        <v>0.99999977160286313</v>
      </c>
      <c r="T69" s="330">
        <f t="shared" si="16"/>
        <v>1.0055812300283631E-3</v>
      </c>
      <c r="U69" s="331">
        <f t="shared" si="17"/>
        <v>66.235542552106992</v>
      </c>
      <c r="V69" s="332">
        <f t="shared" si="18"/>
        <v>-107.15211804747405</v>
      </c>
      <c r="W69" s="334">
        <f t="shared" si="19"/>
        <v>72.847881952525952</v>
      </c>
      <c r="Y69" s="307">
        <f t="shared" si="20"/>
        <v>1000000000</v>
      </c>
      <c r="Z69" s="307">
        <f t="shared" si="21"/>
        <v>30199.488400000002</v>
      </c>
      <c r="AB69" s="333">
        <f t="shared" si="22"/>
        <v>62.543416092953493</v>
      </c>
      <c r="AC69" s="334">
        <f t="shared" si="23"/>
        <v>-86.768524354288573</v>
      </c>
      <c r="AE69" s="333">
        <f t="shared" si="24"/>
        <v>28.108027115647435</v>
      </c>
      <c r="AF69" s="334">
        <f t="shared" si="25"/>
        <v>-20.344402996739419</v>
      </c>
      <c r="AH69">
        <f t="shared" si="26"/>
        <v>0</v>
      </c>
      <c r="AI69">
        <f t="shared" si="30"/>
        <v>0</v>
      </c>
    </row>
    <row r="70" spans="1:35" x14ac:dyDescent="0.25">
      <c r="A70" s="335">
        <v>190.55</v>
      </c>
      <c r="B70" s="352">
        <f t="shared" si="28"/>
        <v>0.19055000000000002</v>
      </c>
      <c r="C70" s="325">
        <f t="shared" si="0"/>
        <v>1.0792249642176164</v>
      </c>
      <c r="D70" s="326">
        <f t="shared" si="1"/>
        <v>0.38555229640533289</v>
      </c>
      <c r="E70" s="326">
        <f t="shared" si="2"/>
        <v>1.0000001146746977</v>
      </c>
      <c r="F70" s="327">
        <f t="shared" si="3"/>
        <v>4.7890434695385941E-4</v>
      </c>
      <c r="G70" s="326">
        <f t="shared" si="4"/>
        <v>1</v>
      </c>
      <c r="H70" s="327">
        <f t="shared" si="5"/>
        <v>0</v>
      </c>
      <c r="I70" s="325">
        <f t="shared" si="6"/>
        <v>62.884680144312163</v>
      </c>
      <c r="J70" s="328">
        <f t="shared" si="7"/>
        <v>1.5548935322070685</v>
      </c>
      <c r="K70" s="336">
        <f t="shared" si="8"/>
        <v>1.0009884556033668</v>
      </c>
      <c r="L70" s="337">
        <f t="shared" si="9"/>
        <v>4.4444169152083074E-2</v>
      </c>
      <c r="M70" s="325">
        <f t="shared" si="10"/>
        <v>1.000001490198021</v>
      </c>
      <c r="N70" s="337">
        <f t="shared" si="11"/>
        <v>1.7263812849001023E-3</v>
      </c>
      <c r="O70" s="343">
        <f t="shared" si="12"/>
        <v>1.0000006130285815</v>
      </c>
      <c r="P70" s="691">
        <f t="shared" si="13"/>
        <v>1.1072743727157327E-3</v>
      </c>
      <c r="Q70" s="336">
        <f t="shared" si="29"/>
        <v>4.1565727677862192</v>
      </c>
      <c r="R70" s="692">
        <f t="shared" si="14"/>
        <v>1.8572883329254749E-3</v>
      </c>
      <c r="S70" s="329">
        <f t="shared" si="15"/>
        <v>0.9999997253947206</v>
      </c>
      <c r="T70" s="330">
        <f t="shared" si="16"/>
        <v>1.1026212381712119E-3</v>
      </c>
      <c r="U70" s="331">
        <f t="shared" si="17"/>
        <v>65.332415819687299</v>
      </c>
      <c r="V70" s="332">
        <f t="shared" si="18"/>
        <v>-108.81051650263956</v>
      </c>
      <c r="W70" s="334">
        <f t="shared" si="19"/>
        <v>71.189483497360442</v>
      </c>
      <c r="Y70" s="307">
        <f t="shared" si="20"/>
        <v>1000000000</v>
      </c>
      <c r="Z70" s="307">
        <f t="shared" si="21"/>
        <v>36309.302500000005</v>
      </c>
      <c r="AB70" s="333">
        <f t="shared" si="22"/>
        <v>61.744895707382184</v>
      </c>
      <c r="AC70" s="334">
        <f t="shared" si="23"/>
        <v>-86.641288131731315</v>
      </c>
      <c r="AE70" s="333">
        <f t="shared" si="24"/>
        <v>28.003422373340577</v>
      </c>
      <c r="AF70" s="334">
        <f t="shared" si="25"/>
        <v>-22.126255736363223</v>
      </c>
      <c r="AH70">
        <f t="shared" si="26"/>
        <v>0</v>
      </c>
      <c r="AI70">
        <f t="shared" si="30"/>
        <v>0</v>
      </c>
    </row>
    <row r="71" spans="1:35" x14ac:dyDescent="0.25">
      <c r="A71" s="335">
        <v>208.93</v>
      </c>
      <c r="B71" s="352">
        <f t="shared" si="28"/>
        <v>0.20893</v>
      </c>
      <c r="C71" s="325">
        <f t="shared" si="0"/>
        <v>1.0945489521527805</v>
      </c>
      <c r="D71" s="326">
        <f t="shared" si="1"/>
        <v>0.41869978894391657</v>
      </c>
      <c r="E71" s="326">
        <f t="shared" si="2"/>
        <v>1.0000001378641354</v>
      </c>
      <c r="F71" s="327">
        <f t="shared" si="3"/>
        <v>5.2509831363011688E-4</v>
      </c>
      <c r="G71" s="326">
        <f t="shared" si="4"/>
        <v>1</v>
      </c>
      <c r="H71" s="327">
        <f t="shared" si="5"/>
        <v>0</v>
      </c>
      <c r="I71" s="325">
        <f t="shared" si="6"/>
        <v>68.948920466104454</v>
      </c>
      <c r="J71" s="328">
        <f t="shared" si="7"/>
        <v>1.5562923279636292</v>
      </c>
      <c r="K71" s="336">
        <f t="shared" si="8"/>
        <v>1.0011882217970181</v>
      </c>
      <c r="L71" s="337">
        <f t="shared" si="9"/>
        <v>4.8724663766053319E-2</v>
      </c>
      <c r="M71" s="325">
        <f t="shared" si="10"/>
        <v>1.0000017915445791</v>
      </c>
      <c r="N71" s="337">
        <f t="shared" si="11"/>
        <v>1.8929035391860854E-3</v>
      </c>
      <c r="O71" s="343">
        <f t="shared" si="12"/>
        <v>1.0000007369947574</v>
      </c>
      <c r="P71" s="691">
        <f t="shared" si="13"/>
        <v>1.214079326016184E-3</v>
      </c>
      <c r="Q71" s="336">
        <f t="shared" si="29"/>
        <v>4.1565742058109159</v>
      </c>
      <c r="R71" s="692">
        <f t="shared" si="14"/>
        <v>2.0364374823558747E-3</v>
      </c>
      <c r="S71" s="329">
        <f t="shared" si="15"/>
        <v>0.99999966986431377</v>
      </c>
      <c r="T71" s="330">
        <f t="shared" si="16"/>
        <v>1.2089775781855333E-3</v>
      </c>
      <c r="U71" s="331">
        <f t="shared" si="17"/>
        <v>64.41202879099545</v>
      </c>
      <c r="V71" s="332">
        <f t="shared" si="18"/>
        <v>-110.5617518357395</v>
      </c>
      <c r="W71" s="334">
        <f t="shared" si="19"/>
        <v>69.4382481642605</v>
      </c>
      <c r="Y71" s="307">
        <f t="shared" si="20"/>
        <v>1000000000</v>
      </c>
      <c r="Z71" s="307">
        <f t="shared" si="21"/>
        <v>43651.744900000005</v>
      </c>
      <c r="AB71" s="333">
        <f t="shared" si="22"/>
        <v>60.94697405980866</v>
      </c>
      <c r="AC71" s="334">
        <f t="shared" si="23"/>
        <v>-86.48571997156192</v>
      </c>
      <c r="AE71" s="333">
        <f t="shared" si="24"/>
        <v>27.8809589204714</v>
      </c>
      <c r="AF71" s="334">
        <f t="shared" si="25"/>
        <v>-24.028914212517321</v>
      </c>
      <c r="AH71">
        <f t="shared" si="26"/>
        <v>0</v>
      </c>
      <c r="AI71">
        <f t="shared" si="30"/>
        <v>0</v>
      </c>
    </row>
    <row r="72" spans="1:35" x14ac:dyDescent="0.25">
      <c r="A72" s="335">
        <v>229.09</v>
      </c>
      <c r="B72" s="352">
        <f t="shared" si="28"/>
        <v>0.22909000000000002</v>
      </c>
      <c r="C72" s="325">
        <f t="shared" si="0"/>
        <v>1.1126990496658984</v>
      </c>
      <c r="D72" s="326">
        <f t="shared" si="1"/>
        <v>0.45396450999245236</v>
      </c>
      <c r="E72" s="326">
        <f t="shared" si="2"/>
        <v>1.0000001657532114</v>
      </c>
      <c r="F72" s="327">
        <f t="shared" si="3"/>
        <v>5.7576590452743538E-4</v>
      </c>
      <c r="G72" s="326">
        <f t="shared" si="4"/>
        <v>1</v>
      </c>
      <c r="H72" s="327">
        <f t="shared" si="5"/>
        <v>0</v>
      </c>
      <c r="I72" s="325">
        <f t="shared" si="6"/>
        <v>75.600577523423766</v>
      </c>
      <c r="J72" s="328">
        <f t="shared" si="7"/>
        <v>1.5575685288627292</v>
      </c>
      <c r="K72" s="336">
        <f t="shared" si="8"/>
        <v>1.0014284204083139</v>
      </c>
      <c r="L72" s="337">
        <f t="shared" si="9"/>
        <v>5.3417640486524288E-2</v>
      </c>
      <c r="M72" s="325">
        <f t="shared" si="10"/>
        <v>1.0000021539627895</v>
      </c>
      <c r="N72" s="337">
        <f t="shared" si="11"/>
        <v>2.0755524195584275E-3</v>
      </c>
      <c r="O72" s="343">
        <f t="shared" si="12"/>
        <v>1.0000008860842604</v>
      </c>
      <c r="P72" s="691">
        <f t="shared" si="13"/>
        <v>1.3312277085748749E-3</v>
      </c>
      <c r="Q72" s="336">
        <f t="shared" si="29"/>
        <v>4.1565759352692329</v>
      </c>
      <c r="R72" s="692">
        <f t="shared" si="14"/>
        <v>2.2329360740515271E-3</v>
      </c>
      <c r="S72" s="329">
        <f t="shared" si="15"/>
        <v>0.99999960307999047</v>
      </c>
      <c r="T72" s="330">
        <f t="shared" si="16"/>
        <v>1.3256339708619563E-3</v>
      </c>
      <c r="U72" s="331">
        <f t="shared" si="17"/>
        <v>63.471304360575587</v>
      </c>
      <c r="V72" s="332">
        <f t="shared" si="18"/>
        <v>-112.40529700742866</v>
      </c>
      <c r="W72" s="334">
        <f t="shared" si="19"/>
        <v>67.594702992571342</v>
      </c>
      <c r="Y72" s="307">
        <f t="shared" si="20"/>
        <v>1000000000</v>
      </c>
      <c r="Z72" s="307">
        <f t="shared" si="21"/>
        <v>52482.2281</v>
      </c>
      <c r="AB72" s="333">
        <f t="shared" si="22"/>
        <v>60.149101677733455</v>
      </c>
      <c r="AC72" s="334">
        <f t="shared" si="23"/>
        <v>-86.300418147221393</v>
      </c>
      <c r="AE72" s="333">
        <f t="shared" si="24"/>
        <v>27.73810919115806</v>
      </c>
      <c r="AF72" s="334">
        <f t="shared" si="25"/>
        <v>-26.053214776454745</v>
      </c>
      <c r="AH72">
        <f t="shared" si="26"/>
        <v>0</v>
      </c>
      <c r="AI72">
        <f t="shared" si="30"/>
        <v>0</v>
      </c>
    </row>
    <row r="73" spans="1:35" x14ac:dyDescent="0.25">
      <c r="A73" s="335">
        <v>251.19</v>
      </c>
      <c r="B73" s="352">
        <f t="shared" si="28"/>
        <v>0.25119000000000002</v>
      </c>
      <c r="C73" s="325">
        <f t="shared" si="0"/>
        <v>1.1341310236709157</v>
      </c>
      <c r="D73" s="326">
        <f t="shared" si="1"/>
        <v>0.4912744802342276</v>
      </c>
      <c r="E73" s="326">
        <f t="shared" si="2"/>
        <v>1.0000001992757128</v>
      </c>
      <c r="F73" s="327">
        <f t="shared" si="3"/>
        <v>6.3130924233306771E-4</v>
      </c>
      <c r="G73" s="326">
        <f t="shared" si="4"/>
        <v>1</v>
      </c>
      <c r="H73" s="327">
        <f t="shared" si="5"/>
        <v>0</v>
      </c>
      <c r="I73" s="325">
        <f t="shared" si="6"/>
        <v>82.892442270864478</v>
      </c>
      <c r="J73" s="328">
        <f t="shared" si="7"/>
        <v>1.5587322081590396</v>
      </c>
      <c r="K73" s="336">
        <f t="shared" si="8"/>
        <v>1.0017170614799984</v>
      </c>
      <c r="L73" s="337">
        <f t="shared" si="9"/>
        <v>5.8559510889209375E-2</v>
      </c>
      <c r="M73" s="325">
        <f t="shared" si="10"/>
        <v>1.0000025895871374</v>
      </c>
      <c r="N73" s="337">
        <f t="shared" si="11"/>
        <v>2.2757774711176281E-3</v>
      </c>
      <c r="O73" s="343">
        <f t="shared" si="12"/>
        <v>1.0000010652889217</v>
      </c>
      <c r="P73" s="691">
        <f t="shared" si="13"/>
        <v>1.459649256481409E-3</v>
      </c>
      <c r="Q73" s="336">
        <f t="shared" si="29"/>
        <v>4.1565780140668362</v>
      </c>
      <c r="R73" s="692">
        <f t="shared" si="14"/>
        <v>2.4483435601390679E-3</v>
      </c>
      <c r="S73" s="329">
        <f t="shared" si="15"/>
        <v>0.9999995228056886</v>
      </c>
      <c r="T73" s="330">
        <f t="shared" si="16"/>
        <v>1.4535162756783404E-3</v>
      </c>
      <c r="U73" s="331">
        <f t="shared" si="17"/>
        <v>62.508295230085352</v>
      </c>
      <c r="V73" s="332">
        <f t="shared" si="18"/>
        <v>-114.33566797280102</v>
      </c>
      <c r="W73" s="334">
        <f t="shared" si="19"/>
        <v>65.664332027198981</v>
      </c>
      <c r="Y73" s="307">
        <f t="shared" si="20"/>
        <v>1000000000</v>
      </c>
      <c r="Z73" s="307">
        <f t="shared" si="21"/>
        <v>63096.416100000002</v>
      </c>
      <c r="AB73" s="333">
        <f t="shared" si="22"/>
        <v>59.351804614646291</v>
      </c>
      <c r="AC73" s="334">
        <f t="shared" si="23"/>
        <v>-86.08395663688944</v>
      </c>
      <c r="AE73" s="333">
        <f t="shared" si="24"/>
        <v>27.572399911213306</v>
      </c>
      <c r="AF73" s="334">
        <f t="shared" si="25"/>
        <v>-28.195063325018637</v>
      </c>
      <c r="AH73">
        <f t="shared" si="26"/>
        <v>0</v>
      </c>
      <c r="AI73">
        <f t="shared" si="30"/>
        <v>0</v>
      </c>
    </row>
    <row r="74" spans="1:35" x14ac:dyDescent="0.25">
      <c r="A74" s="335">
        <v>275.42</v>
      </c>
      <c r="B74" s="352">
        <f t="shared" si="28"/>
        <v>0.27542</v>
      </c>
      <c r="C74" s="325">
        <f t="shared" si="0"/>
        <v>1.1593710041045882</v>
      </c>
      <c r="D74" s="326">
        <f t="shared" si="1"/>
        <v>0.53053464658763427</v>
      </c>
      <c r="E74" s="326">
        <f t="shared" si="2"/>
        <v>1.0000002395745156</v>
      </c>
      <c r="F74" s="327">
        <f t="shared" si="3"/>
        <v>6.9220584757381397E-4</v>
      </c>
      <c r="G74" s="326">
        <f t="shared" si="4"/>
        <v>1</v>
      </c>
      <c r="H74" s="327">
        <f t="shared" si="5"/>
        <v>0</v>
      </c>
      <c r="I74" s="325">
        <f t="shared" si="6"/>
        <v>90.887204903937715</v>
      </c>
      <c r="J74" s="328">
        <f t="shared" si="7"/>
        <v>1.559793455944853</v>
      </c>
      <c r="K74" s="336">
        <f t="shared" si="8"/>
        <v>1.0020639389605177</v>
      </c>
      <c r="L74" s="337">
        <f t="shared" si="9"/>
        <v>6.419338488361126E-2</v>
      </c>
      <c r="M74" s="325">
        <f t="shared" si="10"/>
        <v>1.0000031132691745</v>
      </c>
      <c r="N74" s="337">
        <f t="shared" si="11"/>
        <v>2.4953000209734471E-3</v>
      </c>
      <c r="O74" s="343">
        <f t="shared" si="12"/>
        <v>1.0000012807183143</v>
      </c>
      <c r="P74" s="691">
        <f t="shared" si="13"/>
        <v>1.6004480293112884E-3</v>
      </c>
      <c r="Q74" s="336">
        <f t="shared" si="29"/>
        <v>4.1565805130751938</v>
      </c>
      <c r="R74" s="692">
        <f t="shared" si="14"/>
        <v>2.6845117805508033E-3</v>
      </c>
      <c r="S74" s="329">
        <f t="shared" si="15"/>
        <v>0.99999942630466498</v>
      </c>
      <c r="T74" s="330">
        <f t="shared" si="16"/>
        <v>1.5937239531262522E-3</v>
      </c>
      <c r="U74" s="331">
        <f t="shared" si="17"/>
        <v>61.520355453469165</v>
      </c>
      <c r="V74" s="332">
        <f t="shared" si="18"/>
        <v>-116.34570379924826</v>
      </c>
      <c r="W74" s="334">
        <f t="shared" si="19"/>
        <v>63.654296200751745</v>
      </c>
      <c r="Y74" s="307">
        <f t="shared" si="20"/>
        <v>1000000000</v>
      </c>
      <c r="Z74" s="307">
        <f t="shared" si="21"/>
        <v>75856.176400000011</v>
      </c>
      <c r="AB74" s="333">
        <f t="shared" si="22"/>
        <v>58.555051078934682</v>
      </c>
      <c r="AC74" s="334">
        <f t="shared" si="23"/>
        <v>-85.834542169176117</v>
      </c>
      <c r="AE74" s="333">
        <f t="shared" si="24"/>
        <v>27.381217021224181</v>
      </c>
      <c r="AF74" s="334">
        <f t="shared" si="25"/>
        <v>-30.449049352332043</v>
      </c>
      <c r="AH74">
        <f t="shared" si="26"/>
        <v>0</v>
      </c>
      <c r="AI74">
        <f t="shared" si="30"/>
        <v>0</v>
      </c>
    </row>
    <row r="75" spans="1:35" x14ac:dyDescent="0.25">
      <c r="A75" s="335">
        <v>302</v>
      </c>
      <c r="B75" s="352">
        <f t="shared" si="28"/>
        <v>0.30199999999999999</v>
      </c>
      <c r="C75" s="325">
        <f t="shared" si="0"/>
        <v>1.1890208108721161</v>
      </c>
      <c r="D75" s="326">
        <f t="shared" si="1"/>
        <v>0.57161536791685674</v>
      </c>
      <c r="E75" s="326">
        <f t="shared" si="2"/>
        <v>1.0000002880471257</v>
      </c>
      <c r="F75" s="327">
        <f t="shared" si="3"/>
        <v>7.5900863848649689E-4</v>
      </c>
      <c r="G75" s="326">
        <f t="shared" si="4"/>
        <v>1</v>
      </c>
      <c r="H75" s="327">
        <f t="shared" si="5"/>
        <v>0</v>
      </c>
      <c r="I75" s="325">
        <f t="shared" si="6"/>
        <v>99.657455155448559</v>
      </c>
      <c r="J75" s="328">
        <f t="shared" si="7"/>
        <v>1.5607617861713354</v>
      </c>
      <c r="K75" s="336">
        <f t="shared" si="8"/>
        <v>1.0024810146182979</v>
      </c>
      <c r="L75" s="337">
        <f t="shared" si="9"/>
        <v>7.0368969394714986E-2</v>
      </c>
      <c r="M75" s="325">
        <f t="shared" si="10"/>
        <v>1.0000037431693216</v>
      </c>
      <c r="N75" s="337">
        <f t="shared" si="11"/>
        <v>2.7361131721775943E-3</v>
      </c>
      <c r="O75" s="343">
        <f t="shared" si="12"/>
        <v>1.0000015398432076</v>
      </c>
      <c r="P75" s="691">
        <f t="shared" si="13"/>
        <v>1.7549024085250272E-3</v>
      </c>
      <c r="Q75" s="336">
        <f t="shared" si="29"/>
        <v>4.1565835189556459</v>
      </c>
      <c r="R75" s="692">
        <f t="shared" si="14"/>
        <v>2.9435849555613986E-3</v>
      </c>
      <c r="S75" s="329">
        <f t="shared" si="15"/>
        <v>0.99999931023044542</v>
      </c>
      <c r="T75" s="330">
        <f t="shared" si="16"/>
        <v>1.7475300665725339E-3</v>
      </c>
      <c r="U75" s="331">
        <f t="shared" si="17"/>
        <v>60.504480504716938</v>
      </c>
      <c r="V75" s="332">
        <f t="shared" si="18"/>
        <v>-118.4258787756394</v>
      </c>
      <c r="W75" s="334">
        <f t="shared" si="19"/>
        <v>61.574121224360596</v>
      </c>
      <c r="Y75" s="307">
        <f t="shared" si="20"/>
        <v>1000000000</v>
      </c>
      <c r="Z75" s="307">
        <f t="shared" si="21"/>
        <v>91204</v>
      </c>
      <c r="AB75" s="333">
        <f t="shared" si="22"/>
        <v>57.75851916115468</v>
      </c>
      <c r="AC75" s="334">
        <f t="shared" si="23"/>
        <v>-85.549986052705989</v>
      </c>
      <c r="AE75" s="333">
        <f t="shared" si="24"/>
        <v>27.161878020826652</v>
      </c>
      <c r="AF75" s="334">
        <f t="shared" si="25"/>
        <v>-32.807786229729587</v>
      </c>
      <c r="AH75">
        <f t="shared" si="26"/>
        <v>0</v>
      </c>
      <c r="AI75">
        <f t="shared" si="30"/>
        <v>0</v>
      </c>
    </row>
    <row r="76" spans="1:35" x14ac:dyDescent="0.25">
      <c r="A76" s="335">
        <v>331.13</v>
      </c>
      <c r="B76" s="352">
        <f t="shared" si="28"/>
        <v>0.33112999999999998</v>
      </c>
      <c r="C76" s="325">
        <f t="shared" si="0"/>
        <v>1.2237002360853773</v>
      </c>
      <c r="D76" s="326">
        <f t="shared" si="1"/>
        <v>0.61427140532138258</v>
      </c>
      <c r="E76" s="326">
        <f t="shared" si="2"/>
        <v>1.0000003462953866</v>
      </c>
      <c r="F76" s="327">
        <f t="shared" si="3"/>
        <v>8.3222026722624281E-4</v>
      </c>
      <c r="G76" s="326">
        <f t="shared" si="4"/>
        <v>1</v>
      </c>
      <c r="H76" s="327">
        <f t="shared" si="5"/>
        <v>0</v>
      </c>
      <c r="I76" s="325">
        <f t="shared" si="6"/>
        <v>109.26918437174379</v>
      </c>
      <c r="J76" s="328">
        <f t="shared" si="7"/>
        <v>1.5616444880102935</v>
      </c>
      <c r="K76" s="336">
        <f t="shared" si="8"/>
        <v>1.0029819740645614</v>
      </c>
      <c r="L76" s="337">
        <f t="shared" si="9"/>
        <v>7.7130833401665516E-2</v>
      </c>
      <c r="M76" s="325">
        <f t="shared" si="10"/>
        <v>1.0000045001032751</v>
      </c>
      <c r="N76" s="337">
        <f t="shared" si="11"/>
        <v>3.0000287997083985E-3</v>
      </c>
      <c r="O76" s="343">
        <f t="shared" si="12"/>
        <v>1.0000018512267039</v>
      </c>
      <c r="P76" s="691">
        <f t="shared" si="13"/>
        <v>1.9241745493540233E-3</v>
      </c>
      <c r="Q76" s="336">
        <f t="shared" si="29"/>
        <v>4.1565871310404363</v>
      </c>
      <c r="R76" s="692">
        <f t="shared" si="14"/>
        <v>3.227512330955589E-3</v>
      </c>
      <c r="S76" s="329">
        <f t="shared" si="15"/>
        <v>0.99999917074726774</v>
      </c>
      <c r="T76" s="330">
        <f t="shared" si="16"/>
        <v>1.9160919576682036E-3</v>
      </c>
      <c r="U76" s="331">
        <f t="shared" si="17"/>
        <v>59.459340302349695</v>
      </c>
      <c r="V76" s="332">
        <f t="shared" si="18"/>
        <v>-120.56019219306398</v>
      </c>
      <c r="W76" s="334">
        <f t="shared" si="19"/>
        <v>59.439807806936017</v>
      </c>
      <c r="Y76" s="307">
        <f t="shared" si="20"/>
        <v>1000000000</v>
      </c>
      <c r="Z76" s="307">
        <f t="shared" si="21"/>
        <v>109647.0769</v>
      </c>
      <c r="AB76" s="333">
        <f t="shared" si="22"/>
        <v>56.963093842474457</v>
      </c>
      <c r="AC76" s="334">
        <f t="shared" si="23"/>
        <v>-85.228256124644446</v>
      </c>
      <c r="AE76" s="333">
        <f t="shared" si="24"/>
        <v>26.912167980565002</v>
      </c>
      <c r="AF76" s="334">
        <f t="shared" si="25"/>
        <v>-35.257260314168484</v>
      </c>
      <c r="AH76">
        <f t="shared" si="26"/>
        <v>0</v>
      </c>
      <c r="AI76">
        <f t="shared" si="30"/>
        <v>0</v>
      </c>
    </row>
    <row r="77" spans="1:35" x14ac:dyDescent="0.25">
      <c r="A77" s="335">
        <v>363.08</v>
      </c>
      <c r="B77" s="352">
        <f t="shared" si="28"/>
        <v>0.36307999999999996</v>
      </c>
      <c r="C77" s="325">
        <f t="shared" ref="C77:C140" si="31">SQRT(1+(A77/pole1)^2)</f>
        <v>1.2641469876032119</v>
      </c>
      <c r="D77" s="326">
        <f t="shared" ref="D77:D140" si="32">ATAN(A77/pole1)</f>
        <v>0.65827733870195859</v>
      </c>
      <c r="E77" s="326">
        <f t="shared" ref="E77:E140" si="33">SQRT(1+(A77/Zero1)^2)</f>
        <v>1.000000416345894</v>
      </c>
      <c r="F77" s="327">
        <f t="shared" ref="F77:F140" si="34">ATAN(A77/Zero1)</f>
        <v>9.1251931420715713E-4</v>
      </c>
      <c r="G77" s="326">
        <f t="shared" ref="G77:G140" si="35">IF(VIN_nom&gt;Vout, 1, SQRT(1+(A77/z_RHP)^2))</f>
        <v>1</v>
      </c>
      <c r="H77" s="327">
        <f t="shared" ref="H77:H140" si="36">IF(VIN_nom&gt;Vout, 0, -ATAN(A77/z_RHP))</f>
        <v>0</v>
      </c>
      <c r="I77" s="325">
        <f t="shared" ref="I77:I140" si="37">SQRT(1+(A77/Pole2)^2)</f>
        <v>119.8114816796941</v>
      </c>
      <c r="J77" s="328">
        <f t="shared" ref="J77:J140" si="38">ATAN(A77/Pole2)</f>
        <v>1.5624497844028844</v>
      </c>
      <c r="K77" s="336">
        <f t="shared" ref="K77:K140" si="39">SQRT(1+(A77/Zero2)^2)</f>
        <v>1.0035841066157847</v>
      </c>
      <c r="L77" s="337">
        <f t="shared" ref="L77:L140" si="40">ATAN(A77/Zero2)</f>
        <v>8.453915547103448E-2</v>
      </c>
      <c r="M77" s="325">
        <f t="shared" ref="M77:M140" si="41">SQRT(1+(A77/pole4)^2)</f>
        <v>1.0000054104062783</v>
      </c>
      <c r="N77" s="337">
        <f t="shared" ref="N77:N140" si="42">ATAN(A77/pole4)</f>
        <v>3.2894929350066543E-3</v>
      </c>
      <c r="O77" s="343">
        <f t="shared" ref="O77:O140" si="43">IF(VOUT_setting=1,1,SQRT(1+(A77*zterm1)^2))</f>
        <v>1.0000022257025347</v>
      </c>
      <c r="P77" s="691">
        <f t="shared" ref="P77:P140" si="44">IF(VOUT_setting=1,0,ATAN(((A77*zterm1))))</f>
        <v>2.10983336141863E-3</v>
      </c>
      <c r="Q77" s="336">
        <f t="shared" si="29"/>
        <v>4.1565914750009778</v>
      </c>
      <c r="R77" s="692">
        <f t="shared" ref="R77:R140" si="45">IF(VOUT_setting=1,0,ATAN(A77*$Q$4/(1+Afbr-$Q$5*(A77)^2)))</f>
        <v>3.5389253888135643E-3</v>
      </c>
      <c r="S77" s="329">
        <f t="shared" ref="S77:S140" si="46">SQRT((1-(Z77/pterm2))^2+(A77/pterm1)^2)</f>
        <v>0.99999900300227651</v>
      </c>
      <c r="T77" s="330">
        <f t="shared" ref="T77:T140" si="47">IF((ATAN((A77/pterm1)/(1-A77^2/pterm2))&gt;0),ATAN((A77/pterm1)/(1-A77^2/pterm2)),PI()+ATAN((A77/pterm1)/(1-A77^2/pterm2)))</f>
        <v>2.1009720375748078E-3</v>
      </c>
      <c r="U77" s="331">
        <f t="shared" ref="U77:U140" si="48">20*LOG10(((E77*K77*G77*O77)/(C77*I77*S77*M77*Q77))*Adc)</f>
        <v>58.382076220088493</v>
      </c>
      <c r="V77" s="332">
        <f t="shared" ref="V77:V140" si="49">((F77+L77+H77+P77)-(D77+J77+T77+N77+R77))*radconv</f>
        <v>-122.73300326110831</v>
      </c>
      <c r="W77" s="334">
        <f t="shared" ref="W77:W140" si="50">IF(V77&gt;0,V77,V77+180)</f>
        <v>57.266996738891692</v>
      </c>
      <c r="Y77" s="307">
        <f t="shared" ref="Y77:Y140" si="51">IF(U77&lt;0,A77,1000000000)</f>
        <v>1000000000</v>
      </c>
      <c r="Z77" s="307">
        <f t="shared" ref="Z77:Z140" si="52">A77^2</f>
        <v>131827.0864</v>
      </c>
      <c r="AB77" s="333">
        <f t="shared" ref="AB77:AB140" si="53">20*LOG10((K77/(I77*M77))*AEA)</f>
        <v>56.168284125039627</v>
      </c>
      <c r="AC77" s="334">
        <f t="shared" ref="AC77:AC140" si="54">(L77-(J77+N77))*radconv</f>
        <v>-84.866515694208218</v>
      </c>
      <c r="AE77" s="333">
        <f t="shared" ref="AE77:AE140" si="55">20*LOG10((E77*G77/(C77*S77))*Acs*Am)</f>
        <v>26.629719440522756</v>
      </c>
      <c r="AF77" s="334">
        <f t="shared" ref="AF77:AF140" si="56">(F77+H77-(D77+T77))*radconv</f>
        <v>-37.784606625101034</v>
      </c>
      <c r="AH77">
        <f t="shared" ref="AH77:AH140" si="57">SUM((U78&lt;0)*(U77&gt;0))*A77</f>
        <v>0</v>
      </c>
      <c r="AI77">
        <f t="shared" ref="AI77:AI89" si="58">IF(AH77&gt;0,W75,0)</f>
        <v>0</v>
      </c>
    </row>
    <row r="78" spans="1:35" x14ac:dyDescent="0.25">
      <c r="A78" s="335">
        <v>398.11</v>
      </c>
      <c r="B78" s="352">
        <f t="shared" ref="B78:B141" si="59">A78/1000</f>
        <v>0.39811000000000002</v>
      </c>
      <c r="C78" s="325">
        <f t="shared" si="31"/>
        <v>1.3111208672757986</v>
      </c>
      <c r="D78" s="326">
        <f t="shared" si="32"/>
        <v>0.70330915235931879</v>
      </c>
      <c r="E78" s="326">
        <f t="shared" si="33"/>
        <v>1.0000005005595911</v>
      </c>
      <c r="F78" s="327">
        <f t="shared" si="34"/>
        <v>1.0005592260201941E-3</v>
      </c>
      <c r="G78" s="326">
        <f t="shared" si="35"/>
        <v>1</v>
      </c>
      <c r="H78" s="327">
        <f t="shared" si="36"/>
        <v>0</v>
      </c>
      <c r="I78" s="325">
        <f t="shared" si="37"/>
        <v>131.37013731929832</v>
      </c>
      <c r="J78" s="328">
        <f t="shared" si="38"/>
        <v>1.5631841732419547</v>
      </c>
      <c r="K78" s="336">
        <f t="shared" si="39"/>
        <v>1.004307503761614</v>
      </c>
      <c r="L78" s="337">
        <f t="shared" si="40"/>
        <v>9.2650938763780208E-2</v>
      </c>
      <c r="M78" s="325">
        <f t="shared" si="41"/>
        <v>1.0000065047582478</v>
      </c>
      <c r="N78" s="337">
        <f t="shared" si="42"/>
        <v>3.6068609588310106E-3</v>
      </c>
      <c r="O78" s="343">
        <f t="shared" si="43"/>
        <v>1.0000026758917606</v>
      </c>
      <c r="P78" s="691">
        <f t="shared" si="44"/>
        <v>2.3133896315555083E-3</v>
      </c>
      <c r="Q78" s="336">
        <f t="shared" si="29"/>
        <v>4.156596697241322</v>
      </c>
      <c r="R78" s="692">
        <f t="shared" si="45"/>
        <v>3.8803580788935956E-3</v>
      </c>
      <c r="S78" s="329">
        <f t="shared" si="46"/>
        <v>0.99999880134202856</v>
      </c>
      <c r="T78" s="330">
        <f t="shared" si="47"/>
        <v>2.3036748678396772E-3</v>
      </c>
      <c r="U78" s="331">
        <f t="shared" si="48"/>
        <v>57.271453442742683</v>
      </c>
      <c r="V78" s="332">
        <f t="shared" si="49"/>
        <v>-124.92309585056698</v>
      </c>
      <c r="W78" s="334">
        <f t="shared" si="50"/>
        <v>55.07690414943302</v>
      </c>
      <c r="Y78" s="307">
        <f t="shared" si="51"/>
        <v>1000000000</v>
      </c>
      <c r="Z78" s="307">
        <f t="shared" si="52"/>
        <v>158491.57210000002</v>
      </c>
      <c r="AB78" s="333">
        <f t="shared" si="53"/>
        <v>55.374568975119644</v>
      </c>
      <c r="AC78" s="334">
        <f t="shared" si="54"/>
        <v>-84.462005976064717</v>
      </c>
      <c r="AE78" s="333">
        <f t="shared" si="55"/>
        <v>26.312818815546024</v>
      </c>
      <c r="AF78" s="334">
        <f t="shared" si="56"/>
        <v>-40.371309195737034</v>
      </c>
      <c r="AH78">
        <f t="shared" si="57"/>
        <v>0</v>
      </c>
      <c r="AI78">
        <f t="shared" si="58"/>
        <v>0</v>
      </c>
    </row>
    <row r="79" spans="1:35" x14ac:dyDescent="0.25">
      <c r="A79" s="335">
        <v>436.52</v>
      </c>
      <c r="B79" s="352">
        <f t="shared" si="59"/>
        <v>0.43651999999999996</v>
      </c>
      <c r="C79" s="325">
        <f t="shared" si="31"/>
        <v>1.3654588782680317</v>
      </c>
      <c r="D79" s="326">
        <f t="shared" si="32"/>
        <v>0.74902292214439337</v>
      </c>
      <c r="E79" s="326">
        <f t="shared" si="33"/>
        <v>1.0000006018079008</v>
      </c>
      <c r="F79" s="327">
        <f t="shared" si="34"/>
        <v>1.0970939787025261E-3</v>
      </c>
      <c r="G79" s="326">
        <f t="shared" si="35"/>
        <v>1</v>
      </c>
      <c r="H79" s="327">
        <f t="shared" si="36"/>
        <v>0</v>
      </c>
      <c r="I79" s="325">
        <f t="shared" si="37"/>
        <v>144.04414062798</v>
      </c>
      <c r="J79" s="328">
        <f t="shared" si="38"/>
        <v>1.5638539546273047</v>
      </c>
      <c r="K79" s="336">
        <f t="shared" si="39"/>
        <v>1.0051765393877792</v>
      </c>
      <c r="L79" s="337">
        <f t="shared" si="40"/>
        <v>0.10153134608854583</v>
      </c>
      <c r="M79" s="325">
        <f t="shared" si="41"/>
        <v>1.0000078204725245</v>
      </c>
      <c r="N79" s="337">
        <f t="shared" si="42"/>
        <v>3.9548505808051715E-3</v>
      </c>
      <c r="O79" s="343">
        <f t="shared" si="43"/>
        <v>1.0000032171443269</v>
      </c>
      <c r="P79" s="691">
        <f t="shared" si="44"/>
        <v>2.536586565475619E-3</v>
      </c>
      <c r="Q79" s="336">
        <f t="shared" ref="Q79:Q142" si="60">IF(VOUT_setting=1,1,SQRT((1+Afbr-$Q$5*(A79)^2)^2+(A79*$Q$4)^2))</f>
        <v>4.1566029758200074</v>
      </c>
      <c r="R79" s="692">
        <f t="shared" si="45"/>
        <v>4.2547341433665717E-3</v>
      </c>
      <c r="S79" s="329">
        <f t="shared" si="46"/>
        <v>0.99999855889074729</v>
      </c>
      <c r="T79" s="330">
        <f t="shared" si="47"/>
        <v>2.5259364924945771E-3</v>
      </c>
      <c r="U79" s="331">
        <f t="shared" si="48"/>
        <v>56.12625252101823</v>
      </c>
      <c r="V79" s="332">
        <f t="shared" si="49"/>
        <v>-127.10767159581151</v>
      </c>
      <c r="W79" s="334">
        <f t="shared" si="50"/>
        <v>52.89232840418849</v>
      </c>
      <c r="Y79" s="307">
        <f t="shared" si="51"/>
        <v>1000000000</v>
      </c>
      <c r="Z79" s="307">
        <f t="shared" si="52"/>
        <v>190549.71039999998</v>
      </c>
      <c r="AB79" s="333">
        <f t="shared" si="53"/>
        <v>54.582091408801638</v>
      </c>
      <c r="AC79" s="334">
        <f t="shared" si="54"/>
        <v>-84.011510098714254</v>
      </c>
      <c r="AE79" s="333">
        <f t="shared" si="55"/>
        <v>25.960103879002048</v>
      </c>
      <c r="AF79" s="334">
        <f t="shared" si="56"/>
        <v>-42.997718892190989</v>
      </c>
      <c r="AH79">
        <f t="shared" si="57"/>
        <v>0</v>
      </c>
      <c r="AI79">
        <f t="shared" si="58"/>
        <v>0</v>
      </c>
    </row>
    <row r="80" spans="1:35" x14ac:dyDescent="0.25">
      <c r="A80" s="335">
        <v>478.63</v>
      </c>
      <c r="B80" s="352">
        <f t="shared" si="59"/>
        <v>0.47863</v>
      </c>
      <c r="C80" s="325">
        <f t="shared" si="31"/>
        <v>1.4280444126144194</v>
      </c>
      <c r="D80" s="326">
        <f t="shared" si="32"/>
        <v>0.7950370272975148</v>
      </c>
      <c r="E80" s="326">
        <f t="shared" si="33"/>
        <v>1.0000007235180965</v>
      </c>
      <c r="F80" s="327">
        <f t="shared" si="34"/>
        <v>1.2029278118289204E-3</v>
      </c>
      <c r="G80" s="326">
        <f t="shared" si="35"/>
        <v>1</v>
      </c>
      <c r="H80" s="327">
        <f t="shared" si="36"/>
        <v>0</v>
      </c>
      <c r="I80" s="325">
        <f t="shared" si="37"/>
        <v>157.93908079212531</v>
      </c>
      <c r="J80" s="328">
        <f t="shared" si="38"/>
        <v>1.5644647293426581</v>
      </c>
      <c r="K80" s="336">
        <f t="shared" si="39"/>
        <v>1.0062202104114959</v>
      </c>
      <c r="L80" s="337">
        <f t="shared" si="40"/>
        <v>0.11124871339194431</v>
      </c>
      <c r="M80" s="325">
        <f t="shared" si="41"/>
        <v>1.0000094020853765</v>
      </c>
      <c r="N80" s="337">
        <f t="shared" si="42"/>
        <v>4.3363606194533402E-3</v>
      </c>
      <c r="O80" s="343">
        <f t="shared" si="43"/>
        <v>1.0000038677815972</v>
      </c>
      <c r="P80" s="691">
        <f t="shared" si="44"/>
        <v>2.7812835636744212E-3</v>
      </c>
      <c r="Q80" s="336">
        <f t="shared" si="60"/>
        <v>4.1566105232630886</v>
      </c>
      <c r="R80" s="692">
        <f t="shared" si="45"/>
        <v>4.6651721523008937E-3</v>
      </c>
      <c r="S80" s="329">
        <f t="shared" si="46"/>
        <v>0.99999826744170683</v>
      </c>
      <c r="T80" s="330">
        <f t="shared" si="47"/>
        <v>2.7696087138523872E-3</v>
      </c>
      <c r="U80" s="331">
        <f t="shared" si="48"/>
        <v>54.946104141386122</v>
      </c>
      <c r="V80" s="332">
        <f t="shared" si="49"/>
        <v>-129.26156903394198</v>
      </c>
      <c r="W80" s="334">
        <f t="shared" si="50"/>
        <v>50.738430966058019</v>
      </c>
      <c r="Y80" s="307">
        <f t="shared" si="51"/>
        <v>1000000000</v>
      </c>
      <c r="Z80" s="307">
        <f t="shared" si="52"/>
        <v>229086.67689999999</v>
      </c>
      <c r="AB80" s="333">
        <f t="shared" si="53"/>
        <v>53.791211335632397</v>
      </c>
      <c r="AC80" s="334">
        <f t="shared" si="54"/>
        <v>-83.511599692159351</v>
      </c>
      <c r="AE80" s="333">
        <f t="shared" si="55"/>
        <v>25.570845692776093</v>
      </c>
      <c r="AF80" s="334">
        <f t="shared" si="56"/>
        <v>-45.642030476458132</v>
      </c>
      <c r="AH80">
        <f t="shared" si="57"/>
        <v>0</v>
      </c>
      <c r="AI80">
        <f t="shared" si="58"/>
        <v>0</v>
      </c>
    </row>
    <row r="81" spans="1:35" x14ac:dyDescent="0.25">
      <c r="A81" s="335">
        <v>524.80999999999995</v>
      </c>
      <c r="B81" s="352">
        <f t="shared" si="59"/>
        <v>0.52481</v>
      </c>
      <c r="C81" s="325">
        <f t="shared" si="31"/>
        <v>1.4998463390329766</v>
      </c>
      <c r="D81" s="326">
        <f t="shared" si="32"/>
        <v>0.8409770317270221</v>
      </c>
      <c r="E81" s="326">
        <f t="shared" si="33"/>
        <v>1.0000008698687664</v>
      </c>
      <c r="F81" s="327">
        <f t="shared" si="34"/>
        <v>1.3189906260180563E-3</v>
      </c>
      <c r="G81" s="326">
        <f t="shared" si="35"/>
        <v>1</v>
      </c>
      <c r="H81" s="327">
        <f t="shared" si="36"/>
        <v>0</v>
      </c>
      <c r="I81" s="325">
        <f t="shared" si="37"/>
        <v>173.17704586659224</v>
      </c>
      <c r="J81" s="328">
        <f t="shared" si="38"/>
        <v>1.5650218573642991</v>
      </c>
      <c r="K81" s="336">
        <f t="shared" si="39"/>
        <v>1.0074737432521801</v>
      </c>
      <c r="L81" s="337">
        <f t="shared" si="40"/>
        <v>0.12188101434180341</v>
      </c>
      <c r="M81" s="325">
        <f t="shared" si="41"/>
        <v>1.0000113038958784</v>
      </c>
      <c r="N81" s="337">
        <f t="shared" si="42"/>
        <v>4.7547427686020442E-3</v>
      </c>
      <c r="O81" s="343">
        <f t="shared" si="43"/>
        <v>1.0000046501412374</v>
      </c>
      <c r="P81" s="691">
        <f t="shared" si="44"/>
        <v>3.0496305407992988E-3</v>
      </c>
      <c r="Q81" s="336">
        <f t="shared" si="60"/>
        <v>4.1566195986842942</v>
      </c>
      <c r="R81" s="692">
        <f t="shared" si="45"/>
        <v>5.1152778722701065E-3</v>
      </c>
      <c r="S81" s="329">
        <f t="shared" si="46"/>
        <v>0.99999791698922347</v>
      </c>
      <c r="T81" s="330">
        <f t="shared" si="47"/>
        <v>3.0368326983102371E-3</v>
      </c>
      <c r="U81" s="331">
        <f t="shared" si="48"/>
        <v>53.730778296414734</v>
      </c>
      <c r="V81" s="332">
        <f t="shared" si="49"/>
        <v>-131.35951895161799</v>
      </c>
      <c r="W81" s="334">
        <f t="shared" si="50"/>
        <v>48.640481048382014</v>
      </c>
      <c r="Y81" s="307">
        <f t="shared" si="51"/>
        <v>1000000000</v>
      </c>
      <c r="Z81" s="307">
        <f t="shared" si="52"/>
        <v>275425.53609999997</v>
      </c>
      <c r="AB81" s="333">
        <f t="shared" si="53"/>
        <v>53.001994405108405</v>
      </c>
      <c r="AC81" s="334">
        <f t="shared" si="54"/>
        <v>-82.958306336245585</v>
      </c>
      <c r="AE81" s="333">
        <f t="shared" si="55"/>
        <v>25.144748947363496</v>
      </c>
      <c r="AF81" s="334">
        <f t="shared" si="56"/>
        <v>-48.282859741181454</v>
      </c>
      <c r="AH81">
        <f t="shared" si="57"/>
        <v>0</v>
      </c>
      <c r="AI81">
        <f t="shared" si="58"/>
        <v>0</v>
      </c>
    </row>
    <row r="82" spans="1:35" x14ac:dyDescent="0.25">
      <c r="A82" s="335">
        <v>575.44000000000005</v>
      </c>
      <c r="B82" s="352">
        <f t="shared" si="59"/>
        <v>0.57544000000000006</v>
      </c>
      <c r="C82" s="325">
        <f t="shared" si="31"/>
        <v>1.5818540183537679</v>
      </c>
      <c r="D82" s="326">
        <f t="shared" si="32"/>
        <v>0.88644622284018637</v>
      </c>
      <c r="E82" s="326">
        <f t="shared" si="33"/>
        <v>1.0000010458022941</v>
      </c>
      <c r="F82" s="327">
        <f t="shared" si="34"/>
        <v>1.4462374512938722E-3</v>
      </c>
      <c r="G82" s="326">
        <f t="shared" si="35"/>
        <v>1</v>
      </c>
      <c r="H82" s="327">
        <f t="shared" si="36"/>
        <v>0</v>
      </c>
      <c r="I82" s="325">
        <f t="shared" si="37"/>
        <v>189.88342404857337</v>
      </c>
      <c r="J82" s="328">
        <f t="shared" si="38"/>
        <v>1.56552991332282</v>
      </c>
      <c r="K82" s="336">
        <f t="shared" si="39"/>
        <v>1.0089786000926886</v>
      </c>
      <c r="L82" s="337">
        <f t="shared" si="40"/>
        <v>0.13350604053141316</v>
      </c>
      <c r="M82" s="325">
        <f t="shared" si="41"/>
        <v>1.0000135901278757</v>
      </c>
      <c r="N82" s="337">
        <f t="shared" si="42"/>
        <v>5.2134391658181069E-3</v>
      </c>
      <c r="O82" s="343">
        <f t="shared" si="43"/>
        <v>1.0000055906439036</v>
      </c>
      <c r="P82" s="691">
        <f t="shared" si="44"/>
        <v>3.3438354796774517E-3</v>
      </c>
      <c r="Q82" s="336">
        <f t="shared" si="60"/>
        <v>4.1566305085577531</v>
      </c>
      <c r="R82" s="692">
        <f t="shared" si="45"/>
        <v>5.6087543476151594E-3</v>
      </c>
      <c r="S82" s="329">
        <f t="shared" si="46"/>
        <v>0.99999749569884044</v>
      </c>
      <c r="T82" s="330">
        <f t="shared" si="47"/>
        <v>3.3298075253760879E-3</v>
      </c>
      <c r="U82" s="331">
        <f t="shared" si="48"/>
        <v>52.481386128926758</v>
      </c>
      <c r="V82" s="332">
        <f t="shared" si="49"/>
        <v>-133.37495052806977</v>
      </c>
      <c r="W82" s="334">
        <f t="shared" si="50"/>
        <v>46.625049471930225</v>
      </c>
      <c r="Y82" s="307">
        <f t="shared" si="51"/>
        <v>1000000000</v>
      </c>
      <c r="Z82" s="307">
        <f t="shared" si="52"/>
        <v>331131.19360000006</v>
      </c>
      <c r="AB82" s="333">
        <f t="shared" si="53"/>
        <v>52.215004373072915</v>
      </c>
      <c r="AC82" s="334">
        <f t="shared" si="54"/>
        <v>-82.347632227972156</v>
      </c>
      <c r="AE82" s="333">
        <f t="shared" si="55"/>
        <v>24.682361440662554</v>
      </c>
      <c r="AF82" s="334">
        <f t="shared" si="56"/>
        <v>-50.897548007876935</v>
      </c>
      <c r="AH82">
        <f t="shared" si="57"/>
        <v>0</v>
      </c>
      <c r="AI82">
        <f t="shared" si="58"/>
        <v>0</v>
      </c>
    </row>
    <row r="83" spans="1:35" x14ac:dyDescent="0.25">
      <c r="A83" s="335">
        <v>630.96</v>
      </c>
      <c r="B83" s="352">
        <f t="shared" si="59"/>
        <v>0.63096000000000008</v>
      </c>
      <c r="C83" s="325">
        <f t="shared" si="31"/>
        <v>1.6751510816561141</v>
      </c>
      <c r="D83" s="326">
        <f t="shared" si="32"/>
        <v>0.93108848044561099</v>
      </c>
      <c r="E83" s="326">
        <f t="shared" si="33"/>
        <v>1.0000012573410806</v>
      </c>
      <c r="F83" s="327">
        <f t="shared" si="34"/>
        <v>1.5857741095159676E-3</v>
      </c>
      <c r="G83" s="326">
        <f t="shared" si="35"/>
        <v>1</v>
      </c>
      <c r="H83" s="327">
        <f t="shared" si="36"/>
        <v>0</v>
      </c>
      <c r="I83" s="325">
        <f t="shared" si="37"/>
        <v>208.20340211239406</v>
      </c>
      <c r="J83" s="328">
        <f t="shared" si="38"/>
        <v>1.5659933128446522</v>
      </c>
      <c r="K83" s="336">
        <f t="shared" si="39"/>
        <v>1.0107850423345612</v>
      </c>
      <c r="L83" s="337">
        <f t="shared" si="40"/>
        <v>0.14621214154902529</v>
      </c>
      <c r="M83" s="325">
        <f t="shared" si="41"/>
        <v>1.0000163390389234</v>
      </c>
      <c r="N83" s="337">
        <f t="shared" si="42"/>
        <v>5.7164353326609775E-3</v>
      </c>
      <c r="O83" s="343">
        <f t="shared" si="43"/>
        <v>1.0000067214836448</v>
      </c>
      <c r="P83" s="691">
        <f t="shared" si="44"/>
        <v>3.6664549626048686E-3</v>
      </c>
      <c r="Q83" s="336">
        <f t="shared" si="60"/>
        <v>4.1566436263255646</v>
      </c>
      <c r="R83" s="692">
        <f t="shared" si="45"/>
        <v>6.1498891768439262E-3</v>
      </c>
      <c r="S83" s="329">
        <f t="shared" si="46"/>
        <v>0.99999698915020785</v>
      </c>
      <c r="T83" s="330">
        <f t="shared" si="47"/>
        <v>3.6510795318255903E-3</v>
      </c>
      <c r="U83" s="331">
        <f t="shared" si="48"/>
        <v>51.199120982690303</v>
      </c>
      <c r="V83" s="332">
        <f t="shared" si="49"/>
        <v>-135.28306058644509</v>
      </c>
      <c r="W83" s="334">
        <f t="shared" si="50"/>
        <v>44.716939413554911</v>
      </c>
      <c r="Y83" s="307">
        <f t="shared" si="51"/>
        <v>1000000000</v>
      </c>
      <c r="Z83" s="307">
        <f t="shared" si="52"/>
        <v>398110.52160000004</v>
      </c>
      <c r="AB83" s="333">
        <f t="shared" si="53"/>
        <v>51.43050217926983</v>
      </c>
      <c r="AC83" s="334">
        <f t="shared" si="54"/>
        <v>-81.67499665912824</v>
      </c>
      <c r="AE83" s="333">
        <f t="shared" si="55"/>
        <v>24.184616077398736</v>
      </c>
      <c r="AF83" s="334">
        <f t="shared" si="56"/>
        <v>-53.465773627979964</v>
      </c>
      <c r="AH83">
        <f t="shared" si="57"/>
        <v>0</v>
      </c>
      <c r="AI83">
        <f t="shared" si="58"/>
        <v>0</v>
      </c>
    </row>
    <row r="84" spans="1:35" x14ac:dyDescent="0.25">
      <c r="A84" s="335">
        <v>691.83</v>
      </c>
      <c r="B84" s="352">
        <f t="shared" si="59"/>
        <v>0.69183000000000006</v>
      </c>
      <c r="C84" s="325">
        <f t="shared" si="31"/>
        <v>1.7808489180346896</v>
      </c>
      <c r="D84" s="326">
        <f t="shared" si="32"/>
        <v>0.97456270738154482</v>
      </c>
      <c r="E84" s="326">
        <f t="shared" si="33"/>
        <v>1.0000015116393042</v>
      </c>
      <c r="F84" s="327">
        <f t="shared" si="34"/>
        <v>1.738756682191061E-3</v>
      </c>
      <c r="G84" s="326">
        <f t="shared" si="35"/>
        <v>1</v>
      </c>
      <c r="H84" s="327">
        <f t="shared" si="36"/>
        <v>0</v>
      </c>
      <c r="I84" s="325">
        <f t="shared" si="37"/>
        <v>228.288766619509</v>
      </c>
      <c r="J84" s="328">
        <f t="shared" si="38"/>
        <v>1.5664158957607968</v>
      </c>
      <c r="K84" s="336">
        <f t="shared" si="39"/>
        <v>1.0129523665812306</v>
      </c>
      <c r="L84" s="337">
        <f t="shared" si="40"/>
        <v>0.16008804695909082</v>
      </c>
      <c r="M84" s="325">
        <f t="shared" si="41"/>
        <v>1.0000196435924513</v>
      </c>
      <c r="N84" s="337">
        <f t="shared" si="42"/>
        <v>6.2678977173682218E-3</v>
      </c>
      <c r="O84" s="343">
        <f t="shared" si="43"/>
        <v>1.0000080809045389</v>
      </c>
      <c r="P84" s="691">
        <f t="shared" si="44"/>
        <v>4.0201617185782468E-3</v>
      </c>
      <c r="Q84" s="336">
        <f t="shared" si="60"/>
        <v>4.1566593956050122</v>
      </c>
      <c r="R84" s="692">
        <f t="shared" si="45"/>
        <v>6.7431645622169686E-3</v>
      </c>
      <c r="S84" s="329">
        <f t="shared" si="46"/>
        <v>0.99999638021328729</v>
      </c>
      <c r="T84" s="330">
        <f t="shared" si="47"/>
        <v>4.0033108686321605E-3</v>
      </c>
      <c r="U84" s="331">
        <f t="shared" si="48"/>
        <v>49.886286677880577</v>
      </c>
      <c r="V84" s="332">
        <f t="shared" si="49"/>
        <v>-137.05987056199845</v>
      </c>
      <c r="W84" s="334">
        <f t="shared" si="50"/>
        <v>42.940129438001549</v>
      </c>
      <c r="Y84" s="307">
        <f t="shared" si="51"/>
        <v>1000000000</v>
      </c>
      <c r="Z84" s="307">
        <f t="shared" si="52"/>
        <v>478628.74890000006</v>
      </c>
      <c r="AB84" s="333">
        <f t="shared" si="53"/>
        <v>50.649143414097622</v>
      </c>
      <c r="AC84" s="334">
        <f t="shared" si="54"/>
        <v>-80.935774526157402</v>
      </c>
      <c r="AE84" s="333">
        <f t="shared" si="55"/>
        <v>23.653161682126573</v>
      </c>
      <c r="AF84" s="334">
        <f t="shared" si="56"/>
        <v>-55.968079465120169</v>
      </c>
      <c r="AH84">
        <f t="shared" si="57"/>
        <v>0</v>
      </c>
      <c r="AI84">
        <f t="shared" si="58"/>
        <v>0</v>
      </c>
    </row>
    <row r="85" spans="1:35" x14ac:dyDescent="0.25">
      <c r="A85" s="335">
        <v>758.58</v>
      </c>
      <c r="B85" s="352">
        <f t="shared" si="59"/>
        <v>0.75858000000000003</v>
      </c>
      <c r="C85" s="325">
        <f t="shared" si="31"/>
        <v>1.9001706518919548</v>
      </c>
      <c r="D85" s="326">
        <f t="shared" si="32"/>
        <v>1.0165900815876454</v>
      </c>
      <c r="E85" s="326">
        <f t="shared" si="33"/>
        <v>1.0000018174066161</v>
      </c>
      <c r="F85" s="327">
        <f t="shared" si="34"/>
        <v>1.9065171720051256E-3</v>
      </c>
      <c r="G85" s="326">
        <f t="shared" si="35"/>
        <v>1</v>
      </c>
      <c r="H85" s="327">
        <f t="shared" si="36"/>
        <v>0</v>
      </c>
      <c r="I85" s="325">
        <f t="shared" si="37"/>
        <v>250.31440245938825</v>
      </c>
      <c r="J85" s="328">
        <f t="shared" si="38"/>
        <v>1.5668013402892624</v>
      </c>
      <c r="K85" s="336">
        <f t="shared" si="39"/>
        <v>1.0155522262360577</v>
      </c>
      <c r="L85" s="337">
        <f t="shared" si="40"/>
        <v>0.17523302014763228</v>
      </c>
      <c r="M85" s="325">
        <f t="shared" si="41"/>
        <v>1.0000236169629351</v>
      </c>
      <c r="N85" s="337">
        <f t="shared" si="42"/>
        <v>6.8726265930401731E-3</v>
      </c>
      <c r="O85" s="343">
        <f t="shared" si="43"/>
        <v>1.0000097154655712</v>
      </c>
      <c r="P85" s="691">
        <f t="shared" si="44"/>
        <v>4.4080351434824683E-3</v>
      </c>
      <c r="Q85" s="336">
        <f t="shared" si="60"/>
        <v>4.1566783564586469</v>
      </c>
      <c r="R85" s="692">
        <f t="shared" si="45"/>
        <v>7.3937445344022983E-3</v>
      </c>
      <c r="S85" s="329">
        <f t="shared" si="46"/>
        <v>0.9999956480339971</v>
      </c>
      <c r="T85" s="330">
        <f t="shared" si="47"/>
        <v>4.3895688580345323E-3</v>
      </c>
      <c r="U85" s="331">
        <f t="shared" si="48"/>
        <v>48.545164016920268</v>
      </c>
      <c r="V85" s="332">
        <f t="shared" si="49"/>
        <v>-138.68442240335253</v>
      </c>
      <c r="W85" s="334">
        <f t="shared" si="50"/>
        <v>41.315577596647472</v>
      </c>
      <c r="Y85" s="307">
        <f t="shared" si="51"/>
        <v>1000000000</v>
      </c>
      <c r="Z85" s="307">
        <f t="shared" si="52"/>
        <v>575443.61640000006</v>
      </c>
      <c r="AB85" s="333">
        <f t="shared" si="53"/>
        <v>49.871347748682169</v>
      </c>
      <c r="AC85" s="334">
        <f t="shared" si="54"/>
        <v>-80.124764237731654</v>
      </c>
      <c r="AE85" s="333">
        <f t="shared" si="55"/>
        <v>23.089860110212712</v>
      </c>
      <c r="AF85" s="334">
        <f t="shared" si="56"/>
        <v>-58.388589618473105</v>
      </c>
      <c r="AH85">
        <f t="shared" si="57"/>
        <v>0</v>
      </c>
      <c r="AI85">
        <f t="shared" si="58"/>
        <v>0</v>
      </c>
    </row>
    <row r="86" spans="1:35" x14ac:dyDescent="0.25">
      <c r="A86" s="335">
        <v>831.76</v>
      </c>
      <c r="B86" s="352">
        <f t="shared" si="59"/>
        <v>0.83175999999999994</v>
      </c>
      <c r="C86" s="325">
        <f t="shared" si="31"/>
        <v>2.0343650908519435</v>
      </c>
      <c r="D86" s="326">
        <f t="shared" si="32"/>
        <v>1.0569231694456176</v>
      </c>
      <c r="E86" s="326">
        <f t="shared" si="33"/>
        <v>1.0000021849691536</v>
      </c>
      <c r="F86" s="327">
        <f t="shared" si="34"/>
        <v>2.0904378370232941E-3</v>
      </c>
      <c r="G86" s="326">
        <f t="shared" si="35"/>
        <v>1</v>
      </c>
      <c r="H86" s="327">
        <f t="shared" si="36"/>
        <v>0</v>
      </c>
      <c r="I86" s="325">
        <f t="shared" si="37"/>
        <v>274.4617942708561</v>
      </c>
      <c r="J86" s="328">
        <f t="shared" si="38"/>
        <v>1.5671528243716235</v>
      </c>
      <c r="K86" s="336">
        <f t="shared" si="39"/>
        <v>1.0186687332406177</v>
      </c>
      <c r="L86" s="337">
        <f t="shared" si="40"/>
        <v>0.19174384691563554</v>
      </c>
      <c r="M86" s="325">
        <f t="shared" si="41"/>
        <v>1.0000283933277834</v>
      </c>
      <c r="N86" s="337">
        <f t="shared" si="42"/>
        <v>7.5356029595717465E-3</v>
      </c>
      <c r="O86" s="343">
        <f t="shared" si="43"/>
        <v>1.0000116803666523</v>
      </c>
      <c r="P86" s="691">
        <f t="shared" si="44"/>
        <v>4.8332707271557512E-3</v>
      </c>
      <c r="Q86" s="336">
        <f t="shared" si="60"/>
        <v>4.1567011491724228</v>
      </c>
      <c r="R86" s="692">
        <f t="shared" si="45"/>
        <v>8.1069874819552946E-3</v>
      </c>
      <c r="S86" s="329">
        <f t="shared" si="46"/>
        <v>0.99999476788842845</v>
      </c>
      <c r="T86" s="330">
        <f t="shared" si="47"/>
        <v>4.8130366978117785E-3</v>
      </c>
      <c r="U86" s="331">
        <f t="shared" si="48"/>
        <v>47.179070114020838</v>
      </c>
      <c r="V86" s="332">
        <f t="shared" si="49"/>
        <v>-140.13768837465858</v>
      </c>
      <c r="W86" s="334">
        <f t="shared" si="50"/>
        <v>39.86231162534142</v>
      </c>
      <c r="Y86" s="307">
        <f t="shared" si="51"/>
        <v>1000000000</v>
      </c>
      <c r="Z86" s="307">
        <f t="shared" si="52"/>
        <v>691824.69759999996</v>
      </c>
      <c r="AB86" s="333">
        <f t="shared" si="53"/>
        <v>49.097999344044027</v>
      </c>
      <c r="AC86" s="334">
        <f t="shared" si="54"/>
        <v>-79.236887848843381</v>
      </c>
      <c r="AE86" s="333">
        <f t="shared" si="55"/>
        <v>22.497145173262609</v>
      </c>
      <c r="AF86" s="334">
        <f t="shared" si="56"/>
        <v>-60.713230372229546</v>
      </c>
      <c r="AH86">
        <f t="shared" si="57"/>
        <v>0</v>
      </c>
      <c r="AI86">
        <f t="shared" si="58"/>
        <v>0</v>
      </c>
    </row>
    <row r="87" spans="1:35" x14ac:dyDescent="0.25">
      <c r="A87" s="335">
        <v>912.01</v>
      </c>
      <c r="B87" s="352">
        <f t="shared" si="59"/>
        <v>0.91200999999999999</v>
      </c>
      <c r="C87" s="325">
        <f t="shared" si="31"/>
        <v>2.1848350296557046</v>
      </c>
      <c r="D87" s="326">
        <f t="shared" si="32"/>
        <v>1.0953892037017376</v>
      </c>
      <c r="E87" s="326">
        <f t="shared" si="33"/>
        <v>1.0000026269291085</v>
      </c>
      <c r="F87" s="327">
        <f t="shared" si="34"/>
        <v>2.2921271160112572E-3</v>
      </c>
      <c r="G87" s="326">
        <f t="shared" si="35"/>
        <v>1</v>
      </c>
      <c r="H87" s="327">
        <f t="shared" si="36"/>
        <v>0</v>
      </c>
      <c r="I87" s="325">
        <f t="shared" si="37"/>
        <v>300.94212449079129</v>
      </c>
      <c r="J87" s="328">
        <f t="shared" si="38"/>
        <v>1.5674734226252778</v>
      </c>
      <c r="K87" s="336">
        <f t="shared" si="39"/>
        <v>1.0224034676211211</v>
      </c>
      <c r="L87" s="337">
        <f t="shared" si="40"/>
        <v>0.20972862510042156</v>
      </c>
      <c r="M87" s="325">
        <f t="shared" si="41"/>
        <v>1.0000341364368575</v>
      </c>
      <c r="N87" s="337">
        <f t="shared" si="42"/>
        <v>8.2626225625517021E-3</v>
      </c>
      <c r="O87" s="343">
        <f t="shared" si="43"/>
        <v>1.0000140429743098</v>
      </c>
      <c r="P87" s="691">
        <f t="shared" si="44"/>
        <v>5.2995867714745876E-3</v>
      </c>
      <c r="Q87" s="336">
        <f t="shared" si="60"/>
        <v>4.1567285551482192</v>
      </c>
      <c r="R87" s="692">
        <f t="shared" si="45"/>
        <v>8.8891282184083136E-3</v>
      </c>
      <c r="S87" s="329">
        <f t="shared" si="46"/>
        <v>0.99999370960392864</v>
      </c>
      <c r="T87" s="330">
        <f t="shared" si="47"/>
        <v>5.277418573015581E-3</v>
      </c>
      <c r="U87" s="331">
        <f t="shared" si="48"/>
        <v>45.790966471571515</v>
      </c>
      <c r="V87" s="332">
        <f t="shared" si="49"/>
        <v>-141.40434858884555</v>
      </c>
      <c r="W87" s="334">
        <f t="shared" si="50"/>
        <v>38.595651411154449</v>
      </c>
      <c r="Y87" s="307">
        <f t="shared" si="51"/>
        <v>1000000000</v>
      </c>
      <c r="Z87" s="307">
        <f t="shared" si="52"/>
        <v>831762.24009999994</v>
      </c>
      <c r="AB87" s="333">
        <f t="shared" si="53"/>
        <v>48.329714525408384</v>
      </c>
      <c r="AC87" s="334">
        <f t="shared" si="54"/>
        <v>-78.266460043995011</v>
      </c>
      <c r="AE87" s="333">
        <f t="shared" si="55"/>
        <v>21.877363096011067</v>
      </c>
      <c r="AF87" s="334">
        <f t="shared" si="56"/>
        <v>-62.932222969318929</v>
      </c>
      <c r="AH87">
        <f t="shared" si="57"/>
        <v>0</v>
      </c>
      <c r="AI87">
        <f t="shared" si="58"/>
        <v>0</v>
      </c>
    </row>
    <row r="88" spans="1:35" x14ac:dyDescent="0.25">
      <c r="A88" s="335">
        <v>1000</v>
      </c>
      <c r="B88" s="352">
        <f t="shared" si="59"/>
        <v>1</v>
      </c>
      <c r="C88" s="325">
        <f t="shared" si="31"/>
        <v>2.3530316895817722</v>
      </c>
      <c r="D88" s="326">
        <f t="shared" si="32"/>
        <v>1.1318525016718997</v>
      </c>
      <c r="E88" s="326">
        <f t="shared" si="33"/>
        <v>1.0000031582684139</v>
      </c>
      <c r="F88" s="327">
        <f t="shared" si="34"/>
        <v>2.5132688282821867E-3</v>
      </c>
      <c r="G88" s="326">
        <f t="shared" si="35"/>
        <v>1</v>
      </c>
      <c r="H88" s="327">
        <f t="shared" si="36"/>
        <v>0</v>
      </c>
      <c r="I88" s="325">
        <f t="shared" si="37"/>
        <v>329.97647500816765</v>
      </c>
      <c r="J88" s="328">
        <f t="shared" si="38"/>
        <v>1.5677658030866357</v>
      </c>
      <c r="K88" s="336">
        <f t="shared" si="39"/>
        <v>1.0268755133518486</v>
      </c>
      <c r="L88" s="337">
        <f t="shared" si="40"/>
        <v>0.22929060585451669</v>
      </c>
      <c r="M88" s="325">
        <f t="shared" si="41"/>
        <v>1.0000410409578198</v>
      </c>
      <c r="N88" s="337">
        <f t="shared" si="42"/>
        <v>9.0597521197360292E-3</v>
      </c>
      <c r="O88" s="343">
        <f t="shared" si="43"/>
        <v>1.0000168833756682</v>
      </c>
      <c r="P88" s="691">
        <f t="shared" si="44"/>
        <v>5.810875688090673E-3</v>
      </c>
      <c r="Q88" s="336">
        <f t="shared" si="60"/>
        <v>4.1567615033222625</v>
      </c>
      <c r="R88" s="692">
        <f t="shared" si="45"/>
        <v>9.7466929489601895E-3</v>
      </c>
      <c r="S88" s="329">
        <f t="shared" si="46"/>
        <v>0.99999243731148357</v>
      </c>
      <c r="T88" s="330">
        <f t="shared" si="47"/>
        <v>5.786592518247158E-3</v>
      </c>
      <c r="U88" s="331">
        <f t="shared" si="48"/>
        <v>44.384605230116811</v>
      </c>
      <c r="V88" s="332">
        <f t="shared" si="49"/>
        <v>-142.47149023455538</v>
      </c>
      <c r="W88" s="334">
        <f t="shared" si="50"/>
        <v>37.528509765444625</v>
      </c>
      <c r="Y88" s="307">
        <f t="shared" si="51"/>
        <v>1000000000</v>
      </c>
      <c r="Z88" s="307">
        <f t="shared" si="52"/>
        <v>1000000</v>
      </c>
      <c r="AB88" s="333">
        <f t="shared" si="53"/>
        <v>47.567564311463506</v>
      </c>
      <c r="AC88" s="334">
        <f t="shared" si="54"/>
        <v>-77.208065432459506</v>
      </c>
      <c r="AE88" s="333">
        <f t="shared" si="55"/>
        <v>21.23319624561956</v>
      </c>
      <c r="AF88" s="334">
        <f t="shared" si="56"/>
        <v>-65.037919083855641</v>
      </c>
      <c r="AH88">
        <f t="shared" si="57"/>
        <v>0</v>
      </c>
      <c r="AI88">
        <f t="shared" si="58"/>
        <v>0</v>
      </c>
    </row>
    <row r="89" spans="1:35" x14ac:dyDescent="0.25">
      <c r="A89" s="335">
        <v>1096.5</v>
      </c>
      <c r="B89" s="352">
        <f t="shared" si="59"/>
        <v>1.0965</v>
      </c>
      <c r="C89" s="325">
        <f t="shared" si="31"/>
        <v>2.5405904584569283</v>
      </c>
      <c r="D89" s="326">
        <f t="shared" si="32"/>
        <v>1.1662417982265285</v>
      </c>
      <c r="E89" s="326">
        <f t="shared" si="33"/>
        <v>1.0000037972235896</v>
      </c>
      <c r="F89" s="327">
        <f t="shared" si="34"/>
        <v>2.7557980963265234E-3</v>
      </c>
      <c r="G89" s="326">
        <f t="shared" si="35"/>
        <v>1</v>
      </c>
      <c r="H89" s="327">
        <f t="shared" si="36"/>
        <v>0</v>
      </c>
      <c r="I89" s="325">
        <f t="shared" si="37"/>
        <v>361.81892526990833</v>
      </c>
      <c r="J89" s="328">
        <f t="shared" si="38"/>
        <v>1.5680325098597565</v>
      </c>
      <c r="K89" s="336">
        <f t="shared" si="39"/>
        <v>1.0322276589202288</v>
      </c>
      <c r="L89" s="337">
        <f t="shared" si="40"/>
        <v>0.250540591028038</v>
      </c>
      <c r="M89" s="325">
        <f t="shared" si="41"/>
        <v>1.0000493438414948</v>
      </c>
      <c r="N89" s="337">
        <f t="shared" si="42"/>
        <v>9.9339632139333143E-3</v>
      </c>
      <c r="O89" s="343">
        <f t="shared" si="43"/>
        <v>1.0000202990547198</v>
      </c>
      <c r="P89" s="691">
        <f t="shared" si="44"/>
        <v>6.3716106832546185E-3</v>
      </c>
      <c r="Q89" s="336">
        <f t="shared" si="60"/>
        <v>4.156801124398088</v>
      </c>
      <c r="R89" s="692">
        <f t="shared" si="45"/>
        <v>1.0687181182571994E-2</v>
      </c>
      <c r="S89" s="329">
        <f t="shared" si="46"/>
        <v>0.99999090735184315</v>
      </c>
      <c r="T89" s="330">
        <f t="shared" si="47"/>
        <v>6.3450155680766836E-3</v>
      </c>
      <c r="U89" s="331">
        <f t="shared" si="48"/>
        <v>42.963348971953621</v>
      </c>
      <c r="V89" s="332">
        <f t="shared" si="49"/>
        <v>-143.32954474024012</v>
      </c>
      <c r="W89" s="334">
        <f t="shared" si="50"/>
        <v>36.670455259759876</v>
      </c>
      <c r="Y89" s="307">
        <f t="shared" si="51"/>
        <v>1000000000</v>
      </c>
      <c r="Z89" s="307">
        <f t="shared" si="52"/>
        <v>1202312.25</v>
      </c>
      <c r="AB89" s="333">
        <f t="shared" si="53"/>
        <v>46.812480069688569</v>
      </c>
      <c r="AC89" s="334">
        <f t="shared" si="54"/>
        <v>-76.055900744553014</v>
      </c>
      <c r="AE89" s="333">
        <f t="shared" si="55"/>
        <v>20.567077352622164</v>
      </c>
      <c r="AF89" s="334">
        <f t="shared" si="56"/>
        <v>-67.026380019602527</v>
      </c>
      <c r="AH89">
        <f t="shared" si="57"/>
        <v>0</v>
      </c>
      <c r="AI89">
        <f t="shared" si="58"/>
        <v>0</v>
      </c>
    </row>
    <row r="90" spans="1:35" x14ac:dyDescent="0.25">
      <c r="A90" s="335">
        <v>1202.3</v>
      </c>
      <c r="B90" s="352">
        <f t="shared" si="59"/>
        <v>1.2022999999999999</v>
      </c>
      <c r="C90" s="325">
        <f t="shared" si="31"/>
        <v>2.7491814444800919</v>
      </c>
      <c r="D90" s="326">
        <f t="shared" si="32"/>
        <v>1.1985115623809548</v>
      </c>
      <c r="E90" s="326">
        <f t="shared" si="33"/>
        <v>1.0000045653536529</v>
      </c>
      <c r="F90" s="327">
        <f t="shared" si="34"/>
        <v>3.0217002777237992E-3</v>
      </c>
      <c r="G90" s="326">
        <f t="shared" si="35"/>
        <v>1</v>
      </c>
      <c r="H90" s="327">
        <f t="shared" si="36"/>
        <v>0</v>
      </c>
      <c r="I90" s="325">
        <f t="shared" si="37"/>
        <v>396.73015440608651</v>
      </c>
      <c r="J90" s="328">
        <f t="shared" si="38"/>
        <v>1.56827571915314</v>
      </c>
      <c r="K90" s="336">
        <f t="shared" si="39"/>
        <v>1.0386253230000539</v>
      </c>
      <c r="L90" s="337">
        <f t="shared" si="40"/>
        <v>0.27357523994754696</v>
      </c>
      <c r="M90" s="325">
        <f t="shared" si="41"/>
        <v>1.0000593252001075</v>
      </c>
      <c r="N90" s="337">
        <f t="shared" si="42"/>
        <v>1.0892407204693816E-2</v>
      </c>
      <c r="O90" s="343">
        <f t="shared" si="43"/>
        <v>1.0000244052547229</v>
      </c>
      <c r="P90" s="691">
        <f t="shared" si="44"/>
        <v>6.9863808064263141E-3</v>
      </c>
      <c r="Q90" s="336">
        <f t="shared" si="60"/>
        <v>4.1568487550342592</v>
      </c>
      <c r="R90" s="692">
        <f t="shared" si="45"/>
        <v>1.1718285617526287E-2</v>
      </c>
      <c r="S90" s="329">
        <f t="shared" si="46"/>
        <v>0.99998906811429278</v>
      </c>
      <c r="T90" s="330">
        <f t="shared" si="47"/>
        <v>6.9572609242454396E-3</v>
      </c>
      <c r="U90" s="331">
        <f t="shared" si="48"/>
        <v>41.53143590114513</v>
      </c>
      <c r="V90" s="332">
        <f t="shared" si="49"/>
        <v>-143.97122572997975</v>
      </c>
      <c r="W90" s="334">
        <f t="shared" si="50"/>
        <v>36.02877427002025</v>
      </c>
      <c r="Y90" s="307">
        <f t="shared" si="51"/>
        <v>1000000000</v>
      </c>
      <c r="Z90" s="307">
        <f t="shared" si="52"/>
        <v>1445525.2899999998</v>
      </c>
      <c r="AB90" s="333">
        <f t="shared" si="53"/>
        <v>46.065983038527555</v>
      </c>
      <c r="AC90" s="334">
        <f t="shared" si="54"/>
        <v>-74.804962239089647</v>
      </c>
      <c r="AE90" s="333">
        <f t="shared" si="55"/>
        <v>19.881725174322778</v>
      </c>
      <c r="AF90" s="334">
        <f t="shared" si="56"/>
        <v>-68.895145315846648</v>
      </c>
      <c r="AH90">
        <f t="shared" si="57"/>
        <v>0</v>
      </c>
      <c r="AI90">
        <f t="shared" ref="AI90:AI153" si="61">IF(AH90&gt;0,W90,0)</f>
        <v>0</v>
      </c>
    </row>
    <row r="91" spans="1:35" x14ac:dyDescent="0.25">
      <c r="A91" s="335">
        <v>1318.3</v>
      </c>
      <c r="B91" s="352">
        <f t="shared" si="59"/>
        <v>1.3183</v>
      </c>
      <c r="C91" s="325">
        <f t="shared" si="31"/>
        <v>2.98068775792389</v>
      </c>
      <c r="D91" s="326">
        <f t="shared" si="32"/>
        <v>1.2286677711257707</v>
      </c>
      <c r="E91" s="326">
        <f t="shared" si="33"/>
        <v>1.0000054887953072</v>
      </c>
      <c r="F91" s="327">
        <f t="shared" si="34"/>
        <v>3.3132371486112098E-3</v>
      </c>
      <c r="G91" s="326">
        <f t="shared" si="35"/>
        <v>1</v>
      </c>
      <c r="H91" s="327">
        <f t="shared" si="36"/>
        <v>0</v>
      </c>
      <c r="I91" s="325">
        <f t="shared" si="37"/>
        <v>435.00713883997906</v>
      </c>
      <c r="J91" s="328">
        <f t="shared" si="38"/>
        <v>1.5684975119215925</v>
      </c>
      <c r="K91" s="336">
        <f t="shared" si="39"/>
        <v>1.0462647818786226</v>
      </c>
      <c r="L91" s="337">
        <f t="shared" si="40"/>
        <v>0.29849215877259616</v>
      </c>
      <c r="M91" s="325">
        <f t="shared" si="41"/>
        <v>1.0000713246117323</v>
      </c>
      <c r="N91" s="337">
        <f t="shared" si="42"/>
        <v>1.1943230103850103E-2</v>
      </c>
      <c r="O91" s="343">
        <f t="shared" si="43"/>
        <v>1.0000293416871948</v>
      </c>
      <c r="P91" s="691">
        <f t="shared" si="44"/>
        <v>7.6604137965430794E-3</v>
      </c>
      <c r="Q91" s="336">
        <f t="shared" si="60"/>
        <v>4.1569060156439779</v>
      </c>
      <c r="R91" s="692">
        <f t="shared" si="45"/>
        <v>1.2848768726162838E-2</v>
      </c>
      <c r="S91" s="329">
        <f t="shared" si="46"/>
        <v>0.99998685703313239</v>
      </c>
      <c r="T91" s="330">
        <f t="shared" si="47"/>
        <v>7.6285389031597326E-3</v>
      </c>
      <c r="U91" s="331">
        <f t="shared" si="48"/>
        <v>40.092651079036692</v>
      </c>
      <c r="V91" s="332">
        <f t="shared" si="49"/>
        <v>-144.39224066535212</v>
      </c>
      <c r="W91" s="334">
        <f t="shared" si="50"/>
        <v>35.607759334647881</v>
      </c>
      <c r="Y91" s="307">
        <f t="shared" si="51"/>
        <v>1000000000</v>
      </c>
      <c r="Z91" s="307">
        <f t="shared" si="52"/>
        <v>1737914.89</v>
      </c>
      <c r="AB91" s="333">
        <f t="shared" si="53"/>
        <v>45.329509359076575</v>
      </c>
      <c r="AC91" s="334">
        <f t="shared" si="54"/>
        <v>-73.450243457092469</v>
      </c>
      <c r="AE91" s="333">
        <f t="shared" si="55"/>
        <v>19.17949080285344</v>
      </c>
      <c r="AF91" s="334">
        <f t="shared" si="56"/>
        <v>-70.644726367836853</v>
      </c>
      <c r="AH91">
        <f t="shared" si="57"/>
        <v>0</v>
      </c>
      <c r="AI91">
        <f t="shared" si="61"/>
        <v>0</v>
      </c>
    </row>
    <row r="92" spans="1:35" x14ac:dyDescent="0.25">
      <c r="A92" s="335">
        <v>1445.4</v>
      </c>
      <c r="B92" s="352">
        <f t="shared" si="59"/>
        <v>1.4454</v>
      </c>
      <c r="C92" s="325">
        <f t="shared" si="31"/>
        <v>3.2369908274845325</v>
      </c>
      <c r="D92" s="326">
        <f t="shared" si="32"/>
        <v>1.2567296930313523</v>
      </c>
      <c r="E92" s="326">
        <f t="shared" si="33"/>
        <v>1.0000065981835198</v>
      </c>
      <c r="F92" s="327">
        <f t="shared" si="34"/>
        <v>3.6326704337007226E-3</v>
      </c>
      <c r="G92" s="326">
        <f t="shared" si="35"/>
        <v>1</v>
      </c>
      <c r="H92" s="327">
        <f t="shared" si="36"/>
        <v>0</v>
      </c>
      <c r="I92" s="325">
        <f t="shared" si="37"/>
        <v>476.94685515162678</v>
      </c>
      <c r="J92" s="328">
        <f t="shared" si="38"/>
        <v>1.5686996556000439</v>
      </c>
      <c r="K92" s="336">
        <f t="shared" si="39"/>
        <v>1.0553694299641747</v>
      </c>
      <c r="L92" s="337">
        <f t="shared" si="40"/>
        <v>0.32536067050131845</v>
      </c>
      <c r="M92" s="325">
        <f t="shared" si="41"/>
        <v>1.0000857400796519</v>
      </c>
      <c r="N92" s="337">
        <f t="shared" si="42"/>
        <v>1.3094575515507233E-2</v>
      </c>
      <c r="O92" s="343">
        <f t="shared" si="43"/>
        <v>1.0000352721060612</v>
      </c>
      <c r="P92" s="691">
        <f t="shared" si="44"/>
        <v>8.398936757048418E-3</v>
      </c>
      <c r="Q92" s="336">
        <f t="shared" si="60"/>
        <v>4.1569748054226201</v>
      </c>
      <c r="R92" s="692">
        <f t="shared" si="45"/>
        <v>1.4087390019350839E-2</v>
      </c>
      <c r="S92" s="329">
        <f t="shared" si="46"/>
        <v>0.9999842007806663</v>
      </c>
      <c r="T92" s="330">
        <f t="shared" si="47"/>
        <v>8.3640605603695281E-3</v>
      </c>
      <c r="U92" s="331">
        <f t="shared" si="48"/>
        <v>38.651752620688349</v>
      </c>
      <c r="V92" s="332">
        <f t="shared" si="49"/>
        <v>-144.59066087585231</v>
      </c>
      <c r="W92" s="334">
        <f t="shared" si="50"/>
        <v>35.409339124147692</v>
      </c>
      <c r="Y92" s="307">
        <f t="shared" si="51"/>
        <v>1000000000</v>
      </c>
      <c r="Z92" s="307">
        <f t="shared" si="52"/>
        <v>2089181.1600000001</v>
      </c>
      <c r="AB92" s="333">
        <f t="shared" si="53"/>
        <v>44.605170116549935</v>
      </c>
      <c r="AC92" s="334">
        <f t="shared" si="54"/>
        <v>-71.988340344048694</v>
      </c>
      <c r="AE92" s="333">
        <f t="shared" si="55"/>
        <v>18.463023813356472</v>
      </c>
      <c r="AF92" s="334">
        <f t="shared" si="56"/>
        <v>-72.276396167543794</v>
      </c>
      <c r="AH92">
        <f t="shared" si="57"/>
        <v>0</v>
      </c>
      <c r="AI92">
        <f t="shared" si="61"/>
        <v>0</v>
      </c>
    </row>
    <row r="93" spans="1:35" x14ac:dyDescent="0.25">
      <c r="A93" s="335">
        <v>1584.9</v>
      </c>
      <c r="B93" s="352">
        <f t="shared" si="59"/>
        <v>1.5849000000000002</v>
      </c>
      <c r="C93" s="325">
        <f t="shared" si="31"/>
        <v>3.5207838746003226</v>
      </c>
      <c r="D93" s="326">
        <f t="shared" si="32"/>
        <v>1.2828041575274074</v>
      </c>
      <c r="E93" s="326">
        <f t="shared" si="33"/>
        <v>1.0000079332607859</v>
      </c>
      <c r="F93" s="327">
        <f t="shared" si="34"/>
        <v>3.9832670859291904E-3</v>
      </c>
      <c r="G93" s="326">
        <f t="shared" si="35"/>
        <v>1</v>
      </c>
      <c r="H93" s="327">
        <f t="shared" si="36"/>
        <v>0</v>
      </c>
      <c r="I93" s="325">
        <f t="shared" si="37"/>
        <v>522.97826976363626</v>
      </c>
      <c r="J93" s="328">
        <f t="shared" si="38"/>
        <v>1.568884200293305</v>
      </c>
      <c r="K93" s="336">
        <f t="shared" si="39"/>
        <v>1.0662232264598333</v>
      </c>
      <c r="L93" s="337">
        <f t="shared" si="40"/>
        <v>0.35429904266767981</v>
      </c>
      <c r="M93" s="325">
        <f t="shared" si="41"/>
        <v>1.000103087912606</v>
      </c>
      <c r="N93" s="337">
        <f t="shared" si="42"/>
        <v>1.4358207231649026E-2</v>
      </c>
      <c r="O93" s="343">
        <f t="shared" si="43"/>
        <v>1.000042408945325</v>
      </c>
      <c r="P93" s="691">
        <f t="shared" si="44"/>
        <v>9.2095001616366492E-3</v>
      </c>
      <c r="Q93" s="336">
        <f t="shared" si="60"/>
        <v>4.1570575880829939</v>
      </c>
      <c r="R93" s="692">
        <f t="shared" si="45"/>
        <v>1.5446803118270513E-2</v>
      </c>
      <c r="S93" s="329">
        <f t="shared" si="46"/>
        <v>0.99998100423527292</v>
      </c>
      <c r="T93" s="330">
        <f t="shared" si="47"/>
        <v>9.171352728321043E-3</v>
      </c>
      <c r="U93" s="331">
        <f t="shared" si="48"/>
        <v>37.210171865212061</v>
      </c>
      <c r="V93" s="332">
        <f t="shared" si="49"/>
        <v>-144.56715894629662</v>
      </c>
      <c r="W93" s="334">
        <f t="shared" si="50"/>
        <v>35.432841053703385</v>
      </c>
      <c r="Y93" s="307">
        <f t="shared" si="51"/>
        <v>1000000000</v>
      </c>
      <c r="Z93" s="307">
        <f t="shared" si="52"/>
        <v>2511908.0100000002</v>
      </c>
      <c r="AB93" s="333">
        <f t="shared" si="53"/>
        <v>43.893618936607844</v>
      </c>
      <c r="AC93" s="334">
        <f t="shared" si="54"/>
        <v>-70.413268147386759</v>
      </c>
      <c r="AE93" s="333">
        <f t="shared" si="55"/>
        <v>17.733105220903283</v>
      </c>
      <c r="AF93" s="334">
        <f t="shared" si="56"/>
        <v>-73.796519663541943</v>
      </c>
      <c r="AH93">
        <f t="shared" si="57"/>
        <v>0</v>
      </c>
      <c r="AI93">
        <f t="shared" si="61"/>
        <v>0</v>
      </c>
    </row>
    <row r="94" spans="1:35" x14ac:dyDescent="0.25">
      <c r="A94" s="335">
        <v>1737.8</v>
      </c>
      <c r="B94" s="352">
        <f t="shared" si="59"/>
        <v>1.7378</v>
      </c>
      <c r="C94" s="325">
        <f t="shared" si="31"/>
        <v>3.8341592896781989</v>
      </c>
      <c r="D94" s="326">
        <f t="shared" si="32"/>
        <v>1.306931690503808</v>
      </c>
      <c r="E94" s="326">
        <f t="shared" si="33"/>
        <v>1.0000095377786096</v>
      </c>
      <c r="F94" s="327">
        <f t="shared" si="34"/>
        <v>4.3675399946584712E-3</v>
      </c>
      <c r="G94" s="326">
        <f t="shared" si="35"/>
        <v>1</v>
      </c>
      <c r="H94" s="327">
        <f t="shared" si="36"/>
        <v>0</v>
      </c>
      <c r="I94" s="325">
        <f t="shared" si="37"/>
        <v>573.43135698973686</v>
      </c>
      <c r="J94" s="328">
        <f t="shared" si="38"/>
        <v>1.5690524380195987</v>
      </c>
      <c r="K94" s="336">
        <f t="shared" si="39"/>
        <v>1.0791230881175018</v>
      </c>
      <c r="L94" s="337">
        <f t="shared" si="40"/>
        <v>0.38531962443510326</v>
      </c>
      <c r="M94" s="325">
        <f t="shared" si="41"/>
        <v>1.0001239364561789</v>
      </c>
      <c r="N94" s="337">
        <f t="shared" si="42"/>
        <v>1.5743167237135643E-2</v>
      </c>
      <c r="O94" s="343">
        <f t="shared" si="43"/>
        <v>1.0000509860613906</v>
      </c>
      <c r="P94" s="691">
        <f t="shared" si="44"/>
        <v>1.0097910196628722E-2</v>
      </c>
      <c r="Q94" s="336">
        <f t="shared" si="60"/>
        <v>4.1571570756115106</v>
      </c>
      <c r="R94" s="692">
        <f t="shared" si="45"/>
        <v>1.6936732862265318E-2</v>
      </c>
      <c r="S94" s="329">
        <f t="shared" si="46"/>
        <v>0.99997716269493253</v>
      </c>
      <c r="T94" s="330">
        <f t="shared" si="47"/>
        <v>1.0056207453651524E-2</v>
      </c>
      <c r="U94" s="331">
        <f t="shared" si="48"/>
        <v>35.773790058445378</v>
      </c>
      <c r="V94" s="332">
        <f t="shared" si="49"/>
        <v>-144.32435378310819</v>
      </c>
      <c r="W94" s="334">
        <f t="shared" si="50"/>
        <v>35.675646216891806</v>
      </c>
      <c r="Y94" s="307">
        <f t="shared" si="51"/>
        <v>1000000000</v>
      </c>
      <c r="Z94" s="307">
        <f t="shared" si="52"/>
        <v>3019948.84</v>
      </c>
      <c r="AB94" s="333">
        <f t="shared" si="53"/>
        <v>43.197938902210922</v>
      </c>
      <c r="AC94" s="334">
        <f t="shared" si="54"/>
        <v>-68.724911406923994</v>
      </c>
      <c r="AE94" s="333">
        <f t="shared" si="55"/>
        <v>16.992536822078733</v>
      </c>
      <c r="AF94" s="334">
        <f t="shared" si="56"/>
        <v>-75.207606700157044</v>
      </c>
      <c r="AH94">
        <f t="shared" si="57"/>
        <v>0</v>
      </c>
      <c r="AI94">
        <f t="shared" si="61"/>
        <v>0</v>
      </c>
    </row>
    <row r="95" spans="1:35" x14ac:dyDescent="0.25">
      <c r="A95" s="335">
        <v>1905.5</v>
      </c>
      <c r="B95" s="352">
        <f t="shared" si="59"/>
        <v>1.9055</v>
      </c>
      <c r="C95" s="325">
        <f t="shared" si="31"/>
        <v>4.1800301839880918</v>
      </c>
      <c r="D95" s="326">
        <f t="shared" si="32"/>
        <v>1.3292207768561322</v>
      </c>
      <c r="E95" s="326">
        <f t="shared" si="33"/>
        <v>1.0000114674046792</v>
      </c>
      <c r="F95" s="327">
        <f t="shared" si="34"/>
        <v>4.7890072240180954E-3</v>
      </c>
      <c r="G95" s="326">
        <f t="shared" si="35"/>
        <v>1</v>
      </c>
      <c r="H95" s="327">
        <f t="shared" si="36"/>
        <v>0</v>
      </c>
      <c r="I95" s="325">
        <f t="shared" si="37"/>
        <v>628.76808100065386</v>
      </c>
      <c r="J95" s="328">
        <f t="shared" si="38"/>
        <v>1.5692059146035253</v>
      </c>
      <c r="K95" s="336">
        <f t="shared" si="39"/>
        <v>1.0944353910219404</v>
      </c>
      <c r="L95" s="337">
        <f t="shared" si="40"/>
        <v>0.41846656142822575</v>
      </c>
      <c r="M95" s="325">
        <f t="shared" si="41"/>
        <v>1.0001490088113214</v>
      </c>
      <c r="N95" s="337">
        <f t="shared" si="42"/>
        <v>1.7262115203671474E-2</v>
      </c>
      <c r="O95" s="343">
        <f t="shared" si="43"/>
        <v>1.0000613009980246</v>
      </c>
      <c r="P95" s="691">
        <f t="shared" si="44"/>
        <v>1.1072295758167122E-2</v>
      </c>
      <c r="Q95" s="336">
        <f t="shared" si="60"/>
        <v>4.157276718413728</v>
      </c>
      <c r="R95" s="692">
        <f t="shared" si="45"/>
        <v>1.857079512511382E-2</v>
      </c>
      <c r="S95" s="329">
        <f t="shared" si="46"/>
        <v>0.99997254295390203</v>
      </c>
      <c r="T95" s="330">
        <f t="shared" si="47"/>
        <v>1.1026733328292123E-2</v>
      </c>
      <c r="U95" s="331">
        <f t="shared" si="48"/>
        <v>34.345485388036927</v>
      </c>
      <c r="V95" s="332">
        <f t="shared" si="49"/>
        <v>-143.86732306848828</v>
      </c>
      <c r="W95" s="334">
        <f t="shared" si="50"/>
        <v>36.132676931511725</v>
      </c>
      <c r="Y95" s="307">
        <f t="shared" si="51"/>
        <v>1000000000</v>
      </c>
      <c r="Z95" s="307">
        <f t="shared" si="52"/>
        <v>3630930.25</v>
      </c>
      <c r="AB95" s="333">
        <f t="shared" si="53"/>
        <v>42.519923054409475</v>
      </c>
      <c r="AC95" s="334">
        <f t="shared" si="54"/>
        <v>-66.92155467966694</v>
      </c>
      <c r="AE95" s="333">
        <f t="shared" si="55"/>
        <v>16.242408386034235</v>
      </c>
      <c r="AF95" s="334">
        <f t="shared" si="56"/>
        <v>-76.516136021922847</v>
      </c>
      <c r="AH95">
        <f t="shared" si="57"/>
        <v>0</v>
      </c>
      <c r="AI95">
        <f t="shared" si="61"/>
        <v>0</v>
      </c>
    </row>
    <row r="96" spans="1:35" x14ac:dyDescent="0.25">
      <c r="A96" s="335">
        <v>2089.3000000000002</v>
      </c>
      <c r="B96" s="352">
        <f t="shared" si="59"/>
        <v>2.0893000000000002</v>
      </c>
      <c r="C96" s="325">
        <f t="shared" si="31"/>
        <v>4.5611118015101262</v>
      </c>
      <c r="D96" s="326">
        <f t="shared" si="32"/>
        <v>1.3497559660446425</v>
      </c>
      <c r="E96" s="326">
        <f t="shared" si="33"/>
        <v>1.0000137863194518</v>
      </c>
      <c r="F96" s="327">
        <f t="shared" si="34"/>
        <v>5.2509353582233321E-3</v>
      </c>
      <c r="G96" s="326">
        <f t="shared" si="35"/>
        <v>1</v>
      </c>
      <c r="H96" s="327">
        <f t="shared" si="36"/>
        <v>0</v>
      </c>
      <c r="I96" s="325">
        <f t="shared" si="37"/>
        <v>689.4174086459667</v>
      </c>
      <c r="J96" s="328">
        <f t="shared" si="38"/>
        <v>1.5693458262155411</v>
      </c>
      <c r="K96" s="336">
        <f t="shared" si="39"/>
        <v>1.1125581092722647</v>
      </c>
      <c r="L96" s="337">
        <f t="shared" si="40"/>
        <v>0.45370482346682012</v>
      </c>
      <c r="M96" s="325">
        <f t="shared" si="41"/>
        <v>1.0001791385730696</v>
      </c>
      <c r="N96" s="337">
        <f t="shared" si="42"/>
        <v>1.8926797667144089E-2</v>
      </c>
      <c r="O96" s="343">
        <f t="shared" si="43"/>
        <v>1.0000736967873063</v>
      </c>
      <c r="P96" s="691">
        <f t="shared" si="44"/>
        <v>1.214020276413354E-2</v>
      </c>
      <c r="Q96" s="336">
        <f t="shared" si="60"/>
        <v>4.1574204940737474</v>
      </c>
      <c r="R96" s="692">
        <f t="shared" si="45"/>
        <v>2.0361622304709816E-2</v>
      </c>
      <c r="S96" s="329">
        <f t="shared" si="46"/>
        <v>0.99996699146381374</v>
      </c>
      <c r="T96" s="330">
        <f t="shared" si="47"/>
        <v>1.2090462484582272E-2</v>
      </c>
      <c r="U96" s="331">
        <f t="shared" si="48"/>
        <v>32.930089690624122</v>
      </c>
      <c r="V96" s="332">
        <f t="shared" si="49"/>
        <v>-143.20419560535311</v>
      </c>
      <c r="W96" s="334">
        <f t="shared" si="50"/>
        <v>36.795804394646893</v>
      </c>
      <c r="Y96" s="307">
        <f t="shared" si="51"/>
        <v>1000000000</v>
      </c>
      <c r="Z96" s="307">
        <f t="shared" si="52"/>
        <v>4365174.4900000012</v>
      </c>
      <c r="AB96" s="333">
        <f t="shared" si="53"/>
        <v>41.86247772014606</v>
      </c>
      <c r="AC96" s="334">
        <f t="shared" si="54"/>
        <v>-65.005946609550307</v>
      </c>
      <c r="AE96" s="333">
        <f t="shared" si="55"/>
        <v>15.484650750147003</v>
      </c>
      <c r="AF96" s="334">
        <f t="shared" si="56"/>
        <v>-77.727196353983146</v>
      </c>
      <c r="AH96">
        <f t="shared" si="57"/>
        <v>0</v>
      </c>
      <c r="AI96">
        <f t="shared" si="61"/>
        <v>0</v>
      </c>
    </row>
    <row r="97" spans="1:35" x14ac:dyDescent="0.25">
      <c r="A97" s="335">
        <v>2290.9</v>
      </c>
      <c r="B97" s="352">
        <f t="shared" si="59"/>
        <v>2.2909000000000002</v>
      </c>
      <c r="C97" s="325">
        <f t="shared" si="31"/>
        <v>4.980955481906995</v>
      </c>
      <c r="D97" s="326">
        <f t="shared" si="32"/>
        <v>1.3686578818476987</v>
      </c>
      <c r="E97" s="326">
        <f t="shared" si="33"/>
        <v>1.0000165751851355</v>
      </c>
      <c r="F97" s="327">
        <f t="shared" si="34"/>
        <v>5.7575960593960708E-3</v>
      </c>
      <c r="G97" s="326">
        <f t="shared" si="35"/>
        <v>1</v>
      </c>
      <c r="H97" s="327">
        <f t="shared" si="36"/>
        <v>0</v>
      </c>
      <c r="I97" s="325">
        <f t="shared" si="37"/>
        <v>755.94029670835835</v>
      </c>
      <c r="J97" s="328">
        <f t="shared" si="38"/>
        <v>1.5694734706169517</v>
      </c>
      <c r="K97" s="336">
        <f t="shared" si="39"/>
        <v>1.1339700702175026</v>
      </c>
      <c r="L97" s="337">
        <f t="shared" si="40"/>
        <v>0.49100912279630488</v>
      </c>
      <c r="M97" s="325">
        <f t="shared" si="41"/>
        <v>1.0002153733180905</v>
      </c>
      <c r="N97" s="337">
        <f t="shared" si="42"/>
        <v>2.0752574320861156E-2</v>
      </c>
      <c r="O97" s="343">
        <f t="shared" si="43"/>
        <v>1.0000886045399076</v>
      </c>
      <c r="P97" s="691">
        <f t="shared" si="44"/>
        <v>1.3311498645794839E-2</v>
      </c>
      <c r="Q97" s="336">
        <f t="shared" si="60"/>
        <v>4.1575934011434317</v>
      </c>
      <c r="R97" s="692">
        <f t="shared" si="45"/>
        <v>2.2325732263360251E-2</v>
      </c>
      <c r="S97" s="329">
        <f t="shared" si="46"/>
        <v>0.99996031527356233</v>
      </c>
      <c r="T97" s="330">
        <f t="shared" si="47"/>
        <v>1.325724499250251E-2</v>
      </c>
      <c r="U97" s="331">
        <f t="shared" si="48"/>
        <v>31.530259372423487</v>
      </c>
      <c r="V97" s="332">
        <f t="shared" si="49"/>
        <v>-142.34498657143791</v>
      </c>
      <c r="W97" s="334">
        <f t="shared" si="50"/>
        <v>37.655013428562086</v>
      </c>
      <c r="Y97" s="307">
        <f t="shared" si="51"/>
        <v>1000000000</v>
      </c>
      <c r="Z97" s="307">
        <f t="shared" si="52"/>
        <v>5248222.8100000005</v>
      </c>
      <c r="AB97" s="333">
        <f t="shared" si="53"/>
        <v>41.227635798104316</v>
      </c>
      <c r="AC97" s="334">
        <f t="shared" si="54"/>
        <v>-62.980490480034518</v>
      </c>
      <c r="AE97" s="333">
        <f t="shared" si="55"/>
        <v>14.719894115937853</v>
      </c>
      <c r="AF97" s="334">
        <f t="shared" si="56"/>
        <v>-78.848018548981798</v>
      </c>
      <c r="AH97">
        <f t="shared" si="57"/>
        <v>0</v>
      </c>
      <c r="AI97">
        <f t="shared" si="61"/>
        <v>0</v>
      </c>
    </row>
    <row r="98" spans="1:35" x14ac:dyDescent="0.25">
      <c r="A98" s="335">
        <v>2511.9</v>
      </c>
      <c r="B98" s="352">
        <f t="shared" si="59"/>
        <v>2.5119000000000002</v>
      </c>
      <c r="C98" s="325">
        <f t="shared" si="31"/>
        <v>5.4429144661002979</v>
      </c>
      <c r="D98" s="326">
        <f t="shared" si="32"/>
        <v>1.3860216005122565</v>
      </c>
      <c r="E98" s="326">
        <f t="shared" si="33"/>
        <v>1.0000199273747175</v>
      </c>
      <c r="F98" s="327">
        <f t="shared" si="34"/>
        <v>6.3130093942811794E-3</v>
      </c>
      <c r="G98" s="326">
        <f t="shared" si="35"/>
        <v>1</v>
      </c>
      <c r="H98" s="327">
        <f t="shared" si="36"/>
        <v>0</v>
      </c>
      <c r="I98" s="325">
        <f t="shared" si="37"/>
        <v>828.86470461882993</v>
      </c>
      <c r="J98" s="328">
        <f t="shared" si="38"/>
        <v>1.56958985698502</v>
      </c>
      <c r="K98" s="336">
        <f t="shared" si="39"/>
        <v>1.1591838189054888</v>
      </c>
      <c r="L98" s="337">
        <f t="shared" si="40"/>
        <v>0.53025931702744811</v>
      </c>
      <c r="M98" s="325">
        <f t="shared" si="41"/>
        <v>1.0002589255278147</v>
      </c>
      <c r="N98" s="337">
        <f t="shared" si="42"/>
        <v>2.2753886325874932E-2</v>
      </c>
      <c r="O98" s="343">
        <f t="shared" si="43"/>
        <v>1.0001065232753052</v>
      </c>
      <c r="P98" s="691">
        <f t="shared" si="44"/>
        <v>1.4595466430222533E-2</v>
      </c>
      <c r="Q98" s="336">
        <f t="shared" si="60"/>
        <v>4.1578012248919274</v>
      </c>
      <c r="R98" s="692">
        <f t="shared" si="45"/>
        <v>2.4478652751821657E-2</v>
      </c>
      <c r="S98" s="329">
        <f t="shared" si="46"/>
        <v>0.99995229108344164</v>
      </c>
      <c r="T98" s="330">
        <f t="shared" si="47"/>
        <v>1.453635612225696E-2</v>
      </c>
      <c r="U98" s="331">
        <f t="shared" si="48"/>
        <v>30.150415826903348</v>
      </c>
      <c r="V98" s="332">
        <f t="shared" si="49"/>
        <v>-141.30357122275225</v>
      </c>
      <c r="W98" s="334">
        <f t="shared" si="50"/>
        <v>38.696428777247746</v>
      </c>
      <c r="Y98" s="307">
        <f t="shared" si="51"/>
        <v>1000000000</v>
      </c>
      <c r="Z98" s="307">
        <f t="shared" si="52"/>
        <v>6309641.6100000003</v>
      </c>
      <c r="AB98" s="333">
        <f t="shared" si="53"/>
        <v>40.618348965516915</v>
      </c>
      <c r="AC98" s="334">
        <f t="shared" si="54"/>
        <v>-60.852955182149536</v>
      </c>
      <c r="AE98" s="333">
        <f t="shared" si="55"/>
        <v>13.949615944831855</v>
      </c>
      <c r="AF98" s="334">
        <f t="shared" si="56"/>
        <v>-79.884351175586616</v>
      </c>
      <c r="AH98">
        <f t="shared" si="57"/>
        <v>0</v>
      </c>
      <c r="AI98">
        <f t="shared" si="61"/>
        <v>0</v>
      </c>
    </row>
    <row r="99" spans="1:35" x14ac:dyDescent="0.25">
      <c r="A99" s="335">
        <v>2754.2</v>
      </c>
      <c r="B99" s="352">
        <f t="shared" si="59"/>
        <v>2.7542</v>
      </c>
      <c r="C99" s="325">
        <f t="shared" si="31"/>
        <v>5.9509757616585954</v>
      </c>
      <c r="D99" s="326">
        <f t="shared" si="32"/>
        <v>1.4019556042202057</v>
      </c>
      <c r="E99" s="326">
        <f t="shared" si="33"/>
        <v>1.0000239571674505</v>
      </c>
      <c r="F99" s="327">
        <f t="shared" si="34"/>
        <v>6.9219490278643204E-3</v>
      </c>
      <c r="G99" s="326">
        <f t="shared" si="35"/>
        <v>1</v>
      </c>
      <c r="H99" s="327">
        <f t="shared" si="36"/>
        <v>0</v>
      </c>
      <c r="I99" s="325">
        <f t="shared" si="37"/>
        <v>908.81758429568026</v>
      </c>
      <c r="J99" s="328">
        <f t="shared" si="38"/>
        <v>1.5696959957503966</v>
      </c>
      <c r="K99" s="336">
        <f t="shared" si="39"/>
        <v>1.1887866825073476</v>
      </c>
      <c r="L99" s="337">
        <f t="shared" si="40"/>
        <v>0.57130911957467057</v>
      </c>
      <c r="M99" s="325">
        <f t="shared" si="41"/>
        <v>1.0003112789547635</v>
      </c>
      <c r="N99" s="337">
        <f t="shared" si="42"/>
        <v>2.4947874888092858E-2</v>
      </c>
      <c r="O99" s="343">
        <f t="shared" si="43"/>
        <v>1.0001280637132675</v>
      </c>
      <c r="P99" s="691">
        <f t="shared" si="44"/>
        <v>1.6003127683794718E-2</v>
      </c>
      <c r="Q99" s="336">
        <f t="shared" si="60"/>
        <v>4.1580510447830488</v>
      </c>
      <c r="R99" s="692">
        <f t="shared" si="45"/>
        <v>2.6838813540267265E-2</v>
      </c>
      <c r="S99" s="329">
        <f t="shared" si="46"/>
        <v>0.99994264566388169</v>
      </c>
      <c r="T99" s="330">
        <f t="shared" si="47"/>
        <v>1.5938812618832246E-2</v>
      </c>
      <c r="U99" s="331">
        <f t="shared" si="48"/>
        <v>28.793782695827247</v>
      </c>
      <c r="V99" s="332">
        <f t="shared" si="49"/>
        <v>-140.09636890755513</v>
      </c>
      <c r="W99" s="334">
        <f t="shared" si="50"/>
        <v>39.903631092444869</v>
      </c>
      <c r="Y99" s="307">
        <f t="shared" si="51"/>
        <v>1000000000</v>
      </c>
      <c r="Z99" s="307">
        <f t="shared" si="52"/>
        <v>7585617.6399999987</v>
      </c>
      <c r="AB99" s="333">
        <f t="shared" si="53"/>
        <v>40.037065282827051</v>
      </c>
      <c r="AC99" s="334">
        <f t="shared" si="54"/>
        <v>-58.632762332025244</v>
      </c>
      <c r="AE99" s="333">
        <f t="shared" si="55"/>
        <v>13.174601293189269</v>
      </c>
      <c r="AF99" s="334">
        <f t="shared" si="56"/>
        <v>-80.842767507114971</v>
      </c>
      <c r="AH99">
        <f t="shared" si="57"/>
        <v>0</v>
      </c>
      <c r="AI99">
        <f t="shared" si="61"/>
        <v>0</v>
      </c>
    </row>
    <row r="100" spans="1:35" x14ac:dyDescent="0.25">
      <c r="A100" s="335">
        <v>3020</v>
      </c>
      <c r="B100" s="352">
        <f t="shared" si="59"/>
        <v>3.02</v>
      </c>
      <c r="C100" s="325">
        <f t="shared" si="31"/>
        <v>6.5097656539001809</v>
      </c>
      <c r="D100" s="326">
        <f t="shared" si="32"/>
        <v>1.4165702977965049</v>
      </c>
      <c r="E100" s="326">
        <f t="shared" si="33"/>
        <v>1.0000288043018839</v>
      </c>
      <c r="F100" s="327">
        <f t="shared" si="34"/>
        <v>7.5899420938843687E-3</v>
      </c>
      <c r="G100" s="326">
        <f t="shared" si="35"/>
        <v>1</v>
      </c>
      <c r="H100" s="327">
        <f t="shared" si="36"/>
        <v>0</v>
      </c>
      <c r="I100" s="325">
        <f t="shared" si="37"/>
        <v>996.52488017410997</v>
      </c>
      <c r="J100" s="328">
        <f t="shared" si="38"/>
        <v>1.5697928393880829</v>
      </c>
      <c r="K100" s="336">
        <f t="shared" si="39"/>
        <v>1.2234453265320719</v>
      </c>
      <c r="L100" s="337">
        <f t="shared" si="40"/>
        <v>0.61397593001584572</v>
      </c>
      <c r="M100" s="325">
        <f t="shared" si="41"/>
        <v>1.0003742476020863</v>
      </c>
      <c r="N100" s="337">
        <f t="shared" si="42"/>
        <v>2.7354375212228978E-2</v>
      </c>
      <c r="O100" s="343">
        <f t="shared" si="43"/>
        <v>1.0001539725855424</v>
      </c>
      <c r="P100" s="691">
        <f t="shared" si="44"/>
        <v>1.7547240913621379E-2</v>
      </c>
      <c r="Q100" s="336">
        <f t="shared" si="60"/>
        <v>4.1583515157826145</v>
      </c>
      <c r="R100" s="692">
        <f t="shared" si="45"/>
        <v>2.9427538984993836E-2</v>
      </c>
      <c r="S100" s="329">
        <f t="shared" si="46"/>
        <v>0.99993104501401886</v>
      </c>
      <c r="T100" s="330">
        <f t="shared" si="47"/>
        <v>1.7477374563577962E-2</v>
      </c>
      <c r="U100" s="331">
        <f t="shared" si="48"/>
        <v>27.462816924412312</v>
      </c>
      <c r="V100" s="332">
        <f t="shared" si="49"/>
        <v>-138.74226384059264</v>
      </c>
      <c r="W100" s="334">
        <f t="shared" si="50"/>
        <v>41.257736159407358</v>
      </c>
      <c r="Y100" s="307">
        <f t="shared" si="51"/>
        <v>1000000000</v>
      </c>
      <c r="Z100" s="307">
        <f t="shared" si="52"/>
        <v>9120400</v>
      </c>
      <c r="AB100" s="333">
        <f t="shared" si="53"/>
        <v>39.485902738265565</v>
      </c>
      <c r="AC100" s="334">
        <f t="shared" si="54"/>
        <v>-56.331565209513677</v>
      </c>
      <c r="AE100" s="333">
        <f t="shared" si="55"/>
        <v>12.395200697541151</v>
      </c>
      <c r="AF100" s="334">
        <f t="shared" si="56"/>
        <v>-81.730007691454105</v>
      </c>
      <c r="AH100">
        <f t="shared" si="57"/>
        <v>0</v>
      </c>
      <c r="AI100">
        <f t="shared" si="61"/>
        <v>0</v>
      </c>
    </row>
    <row r="101" spans="1:35" x14ac:dyDescent="0.25">
      <c r="A101" s="335">
        <v>3311.3</v>
      </c>
      <c r="B101" s="352">
        <f t="shared" si="59"/>
        <v>3.3113000000000001</v>
      </c>
      <c r="C101" s="325">
        <f t="shared" si="31"/>
        <v>7.1234982122227555</v>
      </c>
      <c r="D101" s="326">
        <f t="shared" si="32"/>
        <v>1.4299506511481961</v>
      </c>
      <c r="E101" s="326">
        <f t="shared" si="33"/>
        <v>1.0000346289450666</v>
      </c>
      <c r="F101" s="327">
        <f t="shared" si="34"/>
        <v>8.3220124721026002E-3</v>
      </c>
      <c r="G101" s="326">
        <f t="shared" si="35"/>
        <v>1</v>
      </c>
      <c r="H101" s="327">
        <f t="shared" si="36"/>
        <v>0</v>
      </c>
      <c r="I101" s="325">
        <f t="shared" si="37"/>
        <v>1092.6465418087471</v>
      </c>
      <c r="J101" s="328">
        <f t="shared" si="38"/>
        <v>1.5698811176203489</v>
      </c>
      <c r="K101" s="336">
        <f t="shared" si="39"/>
        <v>1.2638370266155552</v>
      </c>
      <c r="L101" s="337">
        <f t="shared" si="40"/>
        <v>0.6579601410942777</v>
      </c>
      <c r="M101" s="325">
        <f t="shared" si="41"/>
        <v>1.0004499101305087</v>
      </c>
      <c r="N101" s="337">
        <f t="shared" si="42"/>
        <v>2.9991382516979526E-2</v>
      </c>
      <c r="O101" s="343">
        <f t="shared" si="43"/>
        <v>1.0001851057096953</v>
      </c>
      <c r="P101" s="691">
        <f t="shared" si="44"/>
        <v>1.9239395040826026E-2</v>
      </c>
      <c r="Q101" s="336">
        <f t="shared" si="60"/>
        <v>4.1587125551823663</v>
      </c>
      <c r="R101" s="692">
        <f t="shared" si="45"/>
        <v>3.2264169633386519E-2</v>
      </c>
      <c r="S101" s="329">
        <f t="shared" si="46"/>
        <v>0.99991710648031484</v>
      </c>
      <c r="T101" s="330">
        <f t="shared" si="47"/>
        <v>1.9163653348023869E-2</v>
      </c>
      <c r="U101" s="331">
        <f t="shared" si="48"/>
        <v>26.161587820356566</v>
      </c>
      <c r="V101" s="332">
        <f t="shared" si="49"/>
        <v>-137.26518510245148</v>
      </c>
      <c r="W101" s="334">
        <f t="shared" si="50"/>
        <v>42.734814897548517</v>
      </c>
      <c r="Y101" s="307">
        <f t="shared" si="51"/>
        <v>1000000000</v>
      </c>
      <c r="Z101" s="307">
        <f t="shared" si="52"/>
        <v>10964707.690000001</v>
      </c>
      <c r="AB101" s="333">
        <f t="shared" si="53"/>
        <v>38.967544993266493</v>
      </c>
      <c r="AC101" s="334">
        <f t="shared" si="54"/>
        <v>-53.967602906044839</v>
      </c>
      <c r="AE101" s="333">
        <f t="shared" si="55"/>
        <v>11.612813065292556</v>
      </c>
      <c r="AF101" s="334">
        <f t="shared" si="56"/>
        <v>-82.551317582290977</v>
      </c>
      <c r="AH101">
        <f t="shared" si="57"/>
        <v>0</v>
      </c>
      <c r="AI101">
        <f t="shared" si="61"/>
        <v>0</v>
      </c>
    </row>
    <row r="102" spans="1:35" x14ac:dyDescent="0.25">
      <c r="A102" s="335">
        <v>3630.8</v>
      </c>
      <c r="B102" s="352">
        <f t="shared" si="59"/>
        <v>3.6308000000000002</v>
      </c>
      <c r="C102" s="325">
        <f t="shared" si="31"/>
        <v>7.7978689798320859</v>
      </c>
      <c r="D102" s="326">
        <f t="shared" si="32"/>
        <v>1.4422020389345751</v>
      </c>
      <c r="E102" s="326">
        <f t="shared" si="33"/>
        <v>1.0000416337313689</v>
      </c>
      <c r="F102" s="327">
        <f t="shared" si="34"/>
        <v>9.124942404980246E-3</v>
      </c>
      <c r="G102" s="326">
        <f t="shared" si="35"/>
        <v>1</v>
      </c>
      <c r="H102" s="327">
        <f t="shared" si="36"/>
        <v>0</v>
      </c>
      <c r="I102" s="325">
        <f t="shared" si="37"/>
        <v>1198.0735011794425</v>
      </c>
      <c r="J102" s="328">
        <f t="shared" si="38"/>
        <v>1.5699616533669902</v>
      </c>
      <c r="K102" s="336">
        <f t="shared" si="39"/>
        <v>1.310765389068639</v>
      </c>
      <c r="L102" s="337">
        <f t="shared" si="40"/>
        <v>0.7029892672324628</v>
      </c>
      <c r="M102" s="325">
        <f t="shared" si="41"/>
        <v>1.0005408958073239</v>
      </c>
      <c r="N102" s="337">
        <f t="shared" si="42"/>
        <v>3.2883190627074815E-2</v>
      </c>
      <c r="O102" s="343">
        <f t="shared" si="43"/>
        <v>1.0002225457378444</v>
      </c>
      <c r="P102" s="691">
        <f t="shared" si="44"/>
        <v>2.1095235173355899E-2</v>
      </c>
      <c r="Q102" s="336">
        <f t="shared" si="60"/>
        <v>4.1591467068077055</v>
      </c>
      <c r="R102" s="692">
        <f t="shared" si="45"/>
        <v>3.5374815579108598E-2</v>
      </c>
      <c r="S102" s="329">
        <f t="shared" si="46"/>
        <v>0.99990034612786194</v>
      </c>
      <c r="T102" s="330">
        <f t="shared" si="47"/>
        <v>2.101332428343328E-2</v>
      </c>
      <c r="U102" s="331">
        <f t="shared" si="48"/>
        <v>24.89137294891988</v>
      </c>
      <c r="V102" s="332">
        <f t="shared" si="49"/>
        <v>-135.68933070825366</v>
      </c>
      <c r="W102" s="334">
        <f t="shared" si="50"/>
        <v>44.310669291746336</v>
      </c>
      <c r="Y102" s="307">
        <f t="shared" si="51"/>
        <v>1000000000</v>
      </c>
      <c r="Z102" s="307">
        <f t="shared" si="52"/>
        <v>13182708.640000001</v>
      </c>
      <c r="AB102" s="333">
        <f t="shared" si="53"/>
        <v>38.483357562500743</v>
      </c>
      <c r="AC102" s="334">
        <f t="shared" si="54"/>
        <v>-51.557926778663806</v>
      </c>
      <c r="AE102" s="333">
        <f t="shared" si="55"/>
        <v>10.827367212967152</v>
      </c>
      <c r="AF102" s="334">
        <f t="shared" si="56"/>
        <v>-83.313244238187622</v>
      </c>
      <c r="AH102">
        <f t="shared" si="57"/>
        <v>0</v>
      </c>
      <c r="AI102">
        <f t="shared" si="61"/>
        <v>0</v>
      </c>
    </row>
    <row r="103" spans="1:35" x14ac:dyDescent="0.25">
      <c r="A103" s="335">
        <v>3981.1</v>
      </c>
      <c r="B103" s="352">
        <f t="shared" si="59"/>
        <v>3.9811000000000001</v>
      </c>
      <c r="C103" s="325">
        <f t="shared" si="31"/>
        <v>8.5383717921278297</v>
      </c>
      <c r="D103" s="326">
        <f t="shared" si="32"/>
        <v>1.4534085660230136</v>
      </c>
      <c r="E103" s="326">
        <f t="shared" si="33"/>
        <v>1.0000500547189093</v>
      </c>
      <c r="F103" s="327">
        <f t="shared" si="34"/>
        <v>1.0005261725980173E-2</v>
      </c>
      <c r="G103" s="326">
        <f t="shared" si="35"/>
        <v>1</v>
      </c>
      <c r="H103" s="327">
        <f t="shared" si="36"/>
        <v>0</v>
      </c>
      <c r="I103" s="325">
        <f t="shared" si="37"/>
        <v>1313.6636928564058</v>
      </c>
      <c r="J103" s="328">
        <f t="shared" si="38"/>
        <v>1.570035096883454</v>
      </c>
      <c r="K103" s="336">
        <f t="shared" si="39"/>
        <v>1.3650480618602496</v>
      </c>
      <c r="L103" s="337">
        <f t="shared" si="40"/>
        <v>0.74869918054948348</v>
      </c>
      <c r="M103" s="325">
        <f t="shared" si="41"/>
        <v>1.0006502665171098</v>
      </c>
      <c r="N103" s="337">
        <f t="shared" si="42"/>
        <v>3.6053136906763948E-2</v>
      </c>
      <c r="O103" s="343">
        <f t="shared" si="43"/>
        <v>1.0002675537415853</v>
      </c>
      <c r="P103" s="691">
        <f t="shared" si="44"/>
        <v>2.312981197638236E-2</v>
      </c>
      <c r="Q103" s="336">
        <f t="shared" si="60"/>
        <v>4.1596685776164959</v>
      </c>
      <c r="R103" s="692">
        <f t="shared" si="45"/>
        <v>3.8784550185657726E-2</v>
      </c>
      <c r="S103" s="329">
        <f t="shared" si="46"/>
        <v>0.9998802005506664</v>
      </c>
      <c r="T103" s="330">
        <f t="shared" si="47"/>
        <v>2.3041499579940956E-2</v>
      </c>
      <c r="U103" s="331">
        <f t="shared" si="48"/>
        <v>23.654435020329572</v>
      </c>
      <c r="V103" s="332">
        <f t="shared" si="49"/>
        <v>-134.04282288439182</v>
      </c>
      <c r="W103" s="334">
        <f t="shared" si="50"/>
        <v>45.957177115608175</v>
      </c>
      <c r="Y103" s="307">
        <f t="shared" si="51"/>
        <v>1000000000</v>
      </c>
      <c r="Z103" s="307">
        <f t="shared" si="52"/>
        <v>15849157.209999999</v>
      </c>
      <c r="AB103" s="333">
        <f t="shared" si="53"/>
        <v>38.034853006462811</v>
      </c>
      <c r="AC103" s="334">
        <f t="shared" si="54"/>
        <v>-49.12477420754476</v>
      </c>
      <c r="AE103" s="333">
        <f t="shared" si="55"/>
        <v>10.03963279918597</v>
      </c>
      <c r="AF103" s="334">
        <f t="shared" si="56"/>
        <v>-84.021098247048471</v>
      </c>
      <c r="AH103">
        <f t="shared" si="57"/>
        <v>0</v>
      </c>
      <c r="AI103">
        <f t="shared" si="61"/>
        <v>0</v>
      </c>
    </row>
    <row r="104" spans="1:35" x14ac:dyDescent="0.25">
      <c r="A104" s="335">
        <v>4365.2</v>
      </c>
      <c r="B104" s="352">
        <f t="shared" si="59"/>
        <v>4.3651999999999997</v>
      </c>
      <c r="C104" s="325">
        <f t="shared" si="31"/>
        <v>9.351352566559509</v>
      </c>
      <c r="D104" s="326">
        <f t="shared" si="32"/>
        <v>1.46365505853543</v>
      </c>
      <c r="E104" s="326">
        <f t="shared" si="33"/>
        <v>1.000060178997439</v>
      </c>
      <c r="F104" s="327">
        <f t="shared" si="34"/>
        <v>1.0970504060216347E-2</v>
      </c>
      <c r="G104" s="326">
        <f t="shared" si="35"/>
        <v>1</v>
      </c>
      <c r="H104" s="327">
        <f t="shared" si="36"/>
        <v>0</v>
      </c>
      <c r="I104" s="325">
        <f t="shared" si="37"/>
        <v>1440.4070414036885</v>
      </c>
      <c r="J104" s="328">
        <f t="shared" si="38"/>
        <v>1.5701020785361852</v>
      </c>
      <c r="K104" s="336">
        <f t="shared" si="39"/>
        <v>1.4275810077047035</v>
      </c>
      <c r="L104" s="337">
        <f t="shared" si="40"/>
        <v>0.79471856722859424</v>
      </c>
      <c r="M104" s="325">
        <f t="shared" si="41"/>
        <v>1.0007817447480039</v>
      </c>
      <c r="N104" s="337">
        <f t="shared" si="42"/>
        <v>3.9528111940555354E-2</v>
      </c>
      <c r="O104" s="343">
        <f t="shared" si="43"/>
        <v>1.000321663216595</v>
      </c>
      <c r="P104" s="691">
        <f t="shared" si="44"/>
        <v>2.5360481760722194E-2</v>
      </c>
      <c r="Q104" s="336">
        <f t="shared" si="60"/>
        <v>4.160295925017758</v>
      </c>
      <c r="R104" s="692">
        <f t="shared" si="45"/>
        <v>4.2522258615193848E-2</v>
      </c>
      <c r="S104" s="329">
        <f t="shared" si="46"/>
        <v>0.99985598497976003</v>
      </c>
      <c r="T104" s="330">
        <f t="shared" si="47"/>
        <v>2.5265627880355454E-2</v>
      </c>
      <c r="U104" s="331">
        <f t="shared" si="48"/>
        <v>22.451800311764543</v>
      </c>
      <c r="V104" s="332">
        <f t="shared" si="49"/>
        <v>-132.35460200178198</v>
      </c>
      <c r="W104" s="334">
        <f t="shared" si="50"/>
        <v>47.645397998218016</v>
      </c>
      <c r="Y104" s="307">
        <f t="shared" si="51"/>
        <v>1000000000</v>
      </c>
      <c r="Z104" s="307">
        <f t="shared" si="52"/>
        <v>19054971.039999999</v>
      </c>
      <c r="AB104" s="333">
        <f t="shared" si="53"/>
        <v>37.622747420660801</v>
      </c>
      <c r="AC104" s="334">
        <f t="shared" si="54"/>
        <v>-46.690996741626037</v>
      </c>
      <c r="AE104" s="333">
        <f t="shared" si="55"/>
        <v>9.2499437041739299</v>
      </c>
      <c r="AF104" s="334">
        <f t="shared" si="56"/>
        <v>-84.680307876325841</v>
      </c>
      <c r="AH104">
        <f t="shared" si="57"/>
        <v>0</v>
      </c>
      <c r="AI104">
        <f t="shared" si="61"/>
        <v>0</v>
      </c>
    </row>
    <row r="105" spans="1:35" x14ac:dyDescent="0.25">
      <c r="A105" s="335">
        <v>4786.3</v>
      </c>
      <c r="B105" s="352">
        <f t="shared" si="59"/>
        <v>4.7862999999999998</v>
      </c>
      <c r="C105" s="325">
        <f t="shared" si="31"/>
        <v>10.243587479000032</v>
      </c>
      <c r="D105" s="326">
        <f t="shared" si="32"/>
        <v>1.473018551510161</v>
      </c>
      <c r="E105" s="326">
        <f t="shared" si="33"/>
        <v>1.0000723492186159</v>
      </c>
      <c r="F105" s="327">
        <f t="shared" si="34"/>
        <v>1.2028703743743891E-2</v>
      </c>
      <c r="G105" s="326">
        <f t="shared" si="35"/>
        <v>1</v>
      </c>
      <c r="H105" s="327">
        <f t="shared" si="36"/>
        <v>0</v>
      </c>
      <c r="I105" s="325">
        <f t="shared" si="37"/>
        <v>1579.3594664123011</v>
      </c>
      <c r="J105" s="328">
        <f t="shared" si="38"/>
        <v>1.5701631586732094</v>
      </c>
      <c r="K105" s="336">
        <f t="shared" si="39"/>
        <v>1.4993035663452259</v>
      </c>
      <c r="L105" s="337">
        <f t="shared" si="40"/>
        <v>0.84065312763838407</v>
      </c>
      <c r="M105" s="325">
        <f t="shared" si="41"/>
        <v>1.0009397713724832</v>
      </c>
      <c r="N105" s="337">
        <f t="shared" si="42"/>
        <v>4.3336727772493179E-2</v>
      </c>
      <c r="O105" s="343">
        <f t="shared" si="43"/>
        <v>1.0003867041376604</v>
      </c>
      <c r="P105" s="691">
        <f t="shared" si="44"/>
        <v>2.7805739048864662E-2</v>
      </c>
      <c r="Q105" s="336">
        <f t="shared" si="60"/>
        <v>4.161049931771621</v>
      </c>
      <c r="R105" s="692">
        <f t="shared" si="45"/>
        <v>4.6618664158748165E-2</v>
      </c>
      <c r="S105" s="329">
        <f t="shared" si="46"/>
        <v>0.99982688279431842</v>
      </c>
      <c r="T105" s="330">
        <f t="shared" si="47"/>
        <v>2.7704343082885399E-2</v>
      </c>
      <c r="U105" s="331">
        <f t="shared" si="48"/>
        <v>21.284086291366741</v>
      </c>
      <c r="V105" s="332">
        <f t="shared" si="49"/>
        <v>-130.65465296971928</v>
      </c>
      <c r="W105" s="334">
        <f t="shared" si="50"/>
        <v>49.34534703028072</v>
      </c>
      <c r="Y105" s="307">
        <f t="shared" si="51"/>
        <v>1000000000</v>
      </c>
      <c r="Z105" s="307">
        <f t="shared" si="52"/>
        <v>22908667.690000001</v>
      </c>
      <c r="AB105" s="333">
        <f t="shared" si="53"/>
        <v>37.247237207346132</v>
      </c>
      <c r="AC105" s="334">
        <f t="shared" si="54"/>
        <v>-44.280857540622691</v>
      </c>
      <c r="AE105" s="333">
        <f t="shared" si="55"/>
        <v>8.4587492358270353</v>
      </c>
      <c r="AF105" s="334">
        <f t="shared" si="56"/>
        <v>-85.295894218772901</v>
      </c>
      <c r="AH105">
        <f t="shared" si="57"/>
        <v>0</v>
      </c>
      <c r="AI105">
        <f t="shared" si="61"/>
        <v>0</v>
      </c>
    </row>
    <row r="106" spans="1:35" x14ac:dyDescent="0.25">
      <c r="A106" s="335">
        <v>5248.1</v>
      </c>
      <c r="B106" s="352">
        <f t="shared" si="59"/>
        <v>5.2481</v>
      </c>
      <c r="C106" s="325">
        <f t="shared" si="31"/>
        <v>11.222918696625328</v>
      </c>
      <c r="D106" s="326">
        <f t="shared" si="32"/>
        <v>1.4815746178511524</v>
      </c>
      <c r="E106" s="326">
        <f t="shared" si="33"/>
        <v>1.0000869831314332</v>
      </c>
      <c r="F106" s="327">
        <f t="shared" si="34"/>
        <v>1.3189149089063608E-2</v>
      </c>
      <c r="G106" s="326">
        <f t="shared" si="35"/>
        <v>1</v>
      </c>
      <c r="H106" s="327">
        <f t="shared" si="36"/>
        <v>0</v>
      </c>
      <c r="I106" s="325">
        <f t="shared" si="37"/>
        <v>1731.7418749651983</v>
      </c>
      <c r="J106" s="328">
        <f t="shared" si="38"/>
        <v>1.5702188734977096</v>
      </c>
      <c r="K106" s="336">
        <f t="shared" si="39"/>
        <v>1.5812445523245215</v>
      </c>
      <c r="L106" s="337">
        <f t="shared" si="40"/>
        <v>0.8861317136559782</v>
      </c>
      <c r="M106" s="325">
        <f t="shared" si="41"/>
        <v>1.001129757800407</v>
      </c>
      <c r="N106" s="337">
        <f t="shared" si="42"/>
        <v>4.7512002642710285E-2</v>
      </c>
      <c r="O106" s="343">
        <f t="shared" si="43"/>
        <v>1.0004649071356144</v>
      </c>
      <c r="P106" s="691">
        <f t="shared" si="44"/>
        <v>3.0486951028391877E-2</v>
      </c>
      <c r="Q106" s="336">
        <f t="shared" si="60"/>
        <v>4.1619564079622586</v>
      </c>
      <c r="R106" s="692">
        <f t="shared" si="45"/>
        <v>5.1109211479660563E-2</v>
      </c>
      <c r="S106" s="329">
        <f t="shared" si="46"/>
        <v>0.99979189930557832</v>
      </c>
      <c r="T106" s="330">
        <f t="shared" si="47"/>
        <v>3.0379210605466885E-2</v>
      </c>
      <c r="U106" s="331">
        <f t="shared" si="48"/>
        <v>20.150727017626213</v>
      </c>
      <c r="V106" s="332">
        <f t="shared" si="49"/>
        <v>-128.9720035519525</v>
      </c>
      <c r="W106" s="334">
        <f t="shared" si="50"/>
        <v>51.027996448047503</v>
      </c>
      <c r="Y106" s="307">
        <f t="shared" si="51"/>
        <v>1000000000</v>
      </c>
      <c r="Z106" s="307">
        <f t="shared" si="52"/>
        <v>27542553.610000003</v>
      </c>
      <c r="AB106" s="333">
        <f t="shared" si="53"/>
        <v>36.907734660419678</v>
      </c>
      <c r="AC106" s="334">
        <f t="shared" si="54"/>
        <v>-41.917544353562036</v>
      </c>
      <c r="AE106" s="333">
        <f t="shared" si="55"/>
        <v>7.6661055326746821</v>
      </c>
      <c r="AF106" s="334">
        <f t="shared" si="56"/>
        <v>-85.872890709163059</v>
      </c>
      <c r="AH106">
        <f t="shared" si="57"/>
        <v>0</v>
      </c>
      <c r="AI106">
        <f t="shared" si="61"/>
        <v>0</v>
      </c>
    </row>
    <row r="107" spans="1:35" x14ac:dyDescent="0.25">
      <c r="A107" s="335">
        <v>5370.3</v>
      </c>
      <c r="B107" s="352">
        <f t="shared" si="59"/>
        <v>5.3703000000000003</v>
      </c>
      <c r="C107" s="325">
        <f t="shared" si="31"/>
        <v>11.482188747131692</v>
      </c>
      <c r="D107" s="326">
        <f t="shared" si="32"/>
        <v>1.4835944431894572</v>
      </c>
      <c r="E107" s="326">
        <f t="shared" si="33"/>
        <v>1.0000910808426222</v>
      </c>
      <c r="F107" s="327">
        <f t="shared" si="34"/>
        <v>1.3496216511275807E-2</v>
      </c>
      <c r="G107" s="326">
        <f t="shared" si="35"/>
        <v>1</v>
      </c>
      <c r="H107" s="327">
        <f t="shared" si="36"/>
        <v>0</v>
      </c>
      <c r="I107" s="325">
        <f t="shared" si="37"/>
        <v>1772.0648084761453</v>
      </c>
      <c r="J107" s="328">
        <f t="shared" si="38"/>
        <v>1.5702320133181593</v>
      </c>
      <c r="K107" s="336">
        <f t="shared" si="39"/>
        <v>1.6034391778883381</v>
      </c>
      <c r="L107" s="337">
        <f t="shared" si="40"/>
        <v>0.89738089077092731</v>
      </c>
      <c r="M107" s="325">
        <f t="shared" si="41"/>
        <v>1.0011829508364527</v>
      </c>
      <c r="N107" s="337">
        <f t="shared" si="42"/>
        <v>4.861657882874941E-2</v>
      </c>
      <c r="O107" s="343">
        <f t="shared" si="43"/>
        <v>1.000486804236792</v>
      </c>
      <c r="P107" s="691">
        <f t="shared" si="44"/>
        <v>3.1196372764211971E-2</v>
      </c>
      <c r="Q107" s="336">
        <f t="shared" si="60"/>
        <v>4.1622102016499918</v>
      </c>
      <c r="R107" s="692">
        <f t="shared" si="45"/>
        <v>5.2297151806358889E-2</v>
      </c>
      <c r="S107" s="329">
        <f t="shared" si="46"/>
        <v>0.99978210537595036</v>
      </c>
      <c r="T107" s="330">
        <f t="shared" si="47"/>
        <v>3.1087108880695151E-2</v>
      </c>
      <c r="U107" s="331">
        <f t="shared" si="48"/>
        <v>19.872809485194466</v>
      </c>
      <c r="V107" s="332">
        <f t="shared" si="49"/>
        <v>-128.55762406875402</v>
      </c>
      <c r="W107" s="334">
        <f t="shared" si="50"/>
        <v>51.442375931245977</v>
      </c>
      <c r="Y107" s="307">
        <f t="shared" si="51"/>
        <v>1000000000</v>
      </c>
      <c r="Z107" s="307">
        <f t="shared" si="52"/>
        <v>28840122.090000004</v>
      </c>
      <c r="AB107" s="333">
        <f t="shared" si="53"/>
        <v>36.828413288981217</v>
      </c>
      <c r="AC107" s="334">
        <f t="shared" si="54"/>
        <v>-41.337054391083015</v>
      </c>
      <c r="AE107" s="333">
        <f t="shared" si="55"/>
        <v>7.4678489107034665</v>
      </c>
      <c r="AF107" s="334">
        <f t="shared" si="56"/>
        <v>-86.011584092736456</v>
      </c>
      <c r="AH107">
        <f t="shared" si="57"/>
        <v>0</v>
      </c>
      <c r="AI107">
        <f t="shared" si="61"/>
        <v>0</v>
      </c>
    </row>
    <row r="108" spans="1:35" x14ac:dyDescent="0.25">
      <c r="A108" s="335">
        <v>5432.85</v>
      </c>
      <c r="B108" s="352">
        <f t="shared" si="59"/>
        <v>5.4328500000000002</v>
      </c>
      <c r="C108" s="325">
        <f t="shared" si="31"/>
        <v>11.61491773118366</v>
      </c>
      <c r="D108" s="326">
        <f t="shared" si="32"/>
        <v>1.4845934291384366</v>
      </c>
      <c r="E108" s="326">
        <f t="shared" si="33"/>
        <v>1.000093214808278</v>
      </c>
      <c r="F108" s="327">
        <f t="shared" si="34"/>
        <v>1.365339283988086E-2</v>
      </c>
      <c r="G108" s="326">
        <f t="shared" si="35"/>
        <v>1</v>
      </c>
      <c r="H108" s="327">
        <f t="shared" si="36"/>
        <v>0</v>
      </c>
      <c r="I108" s="325">
        <f t="shared" si="37"/>
        <v>1792.7047389596516</v>
      </c>
      <c r="J108" s="328">
        <f t="shared" si="38"/>
        <v>1.5702385104238414</v>
      </c>
      <c r="K108" s="336">
        <f t="shared" si="39"/>
        <v>1.6148767249364548</v>
      </c>
      <c r="L108" s="337">
        <f t="shared" si="40"/>
        <v>0.90301895048437864</v>
      </c>
      <c r="M108" s="325">
        <f t="shared" si="41"/>
        <v>1.0012106511488317</v>
      </c>
      <c r="N108" s="337">
        <f t="shared" si="42"/>
        <v>4.9181927828789392E-2</v>
      </c>
      <c r="O108" s="343">
        <f t="shared" si="43"/>
        <v>1.0004982074391298</v>
      </c>
      <c r="P108" s="691">
        <f t="shared" si="44"/>
        <v>3.1559489375389216E-2</v>
      </c>
      <c r="Q108" s="336">
        <f t="shared" si="60"/>
        <v>4.1623423641102661</v>
      </c>
      <c r="R108" s="692">
        <f t="shared" si="45"/>
        <v>5.290516156705094E-2</v>
      </c>
      <c r="S108" s="329">
        <f t="shared" si="46"/>
        <v>0.99977700532983715</v>
      </c>
      <c r="T108" s="330">
        <f t="shared" si="47"/>
        <v>3.1449471900907938E-2</v>
      </c>
      <c r="U108" s="331">
        <f t="shared" si="48"/>
        <v>19.733780460912623</v>
      </c>
      <c r="V108" s="332">
        <f t="shared" si="49"/>
        <v>-128.35037676469221</v>
      </c>
      <c r="W108" s="334">
        <f t="shared" si="50"/>
        <v>51.649623235307786</v>
      </c>
      <c r="Y108" s="307">
        <f t="shared" si="51"/>
        <v>1000000000</v>
      </c>
      <c r="Z108" s="307">
        <f t="shared" si="52"/>
        <v>29515859.122500002</v>
      </c>
      <c r="AB108" s="333">
        <f t="shared" si="53"/>
        <v>36.789327350727923</v>
      </c>
      <c r="AC108" s="334">
        <f t="shared" si="54"/>
        <v>-41.046781732916706</v>
      </c>
      <c r="AE108" s="333">
        <f t="shared" si="55"/>
        <v>7.368082624732172</v>
      </c>
      <c r="AF108" s="334">
        <f t="shared" si="56"/>
        <v>-86.080578102926054</v>
      </c>
      <c r="AH108">
        <f t="shared" si="57"/>
        <v>0</v>
      </c>
      <c r="AI108">
        <f t="shared" si="61"/>
        <v>0</v>
      </c>
    </row>
    <row r="109" spans="1:35" x14ac:dyDescent="0.25">
      <c r="A109" s="335">
        <v>5495.4</v>
      </c>
      <c r="B109" s="352">
        <f t="shared" si="59"/>
        <v>5.4954000000000001</v>
      </c>
      <c r="C109" s="325">
        <f t="shared" si="31"/>
        <v>11.747658044675946</v>
      </c>
      <c r="D109" s="326">
        <f t="shared" si="32"/>
        <v>1.4855698403595532</v>
      </c>
      <c r="E109" s="326">
        <f t="shared" si="33"/>
        <v>1.0000953734805287</v>
      </c>
      <c r="F109" s="327">
        <f t="shared" si="34"/>
        <v>1.3810568493849179E-2</v>
      </c>
      <c r="G109" s="326">
        <f t="shared" si="35"/>
        <v>1</v>
      </c>
      <c r="H109" s="327">
        <f t="shared" si="36"/>
        <v>0</v>
      </c>
      <c r="I109" s="325">
        <f t="shared" si="37"/>
        <v>1813.3446695171092</v>
      </c>
      <c r="J109" s="328">
        <f t="shared" si="38"/>
        <v>1.5702448596262462</v>
      </c>
      <c r="K109" s="336">
        <f t="shared" si="39"/>
        <v>1.6263648822747325</v>
      </c>
      <c r="L109" s="337">
        <f t="shared" si="40"/>
        <v>0.90857753367168548</v>
      </c>
      <c r="M109" s="325">
        <f t="shared" si="41"/>
        <v>1.0012386714498842</v>
      </c>
      <c r="N109" s="337">
        <f t="shared" si="42"/>
        <v>4.9747245366204784E-2</v>
      </c>
      <c r="O109" s="343">
        <f t="shared" si="43"/>
        <v>1.0005097425578142</v>
      </c>
      <c r="P109" s="691">
        <f t="shared" si="44"/>
        <v>3.1922597661524332E-2</v>
      </c>
      <c r="Q109" s="336">
        <f t="shared" si="60"/>
        <v>4.1624760527368263</v>
      </c>
      <c r="R109" s="692">
        <f t="shared" si="45"/>
        <v>5.3513132653502417E-2</v>
      </c>
      <c r="S109" s="329">
        <f t="shared" si="46"/>
        <v>0.99977184647344852</v>
      </c>
      <c r="T109" s="330">
        <f t="shared" si="47"/>
        <v>3.1811844621029088E-2</v>
      </c>
      <c r="U109" s="331">
        <f t="shared" si="48"/>
        <v>19.596859335287895</v>
      </c>
      <c r="V109" s="332">
        <f t="shared" si="49"/>
        <v>-128.14637827214986</v>
      </c>
      <c r="W109" s="334">
        <f t="shared" si="50"/>
        <v>51.85362172785014</v>
      </c>
      <c r="Y109" s="307">
        <f t="shared" si="51"/>
        <v>1000000000</v>
      </c>
      <c r="Z109" s="307">
        <f t="shared" si="52"/>
        <v>30199421.159999996</v>
      </c>
      <c r="AB109" s="333">
        <f t="shared" si="53"/>
        <v>36.751224657361604</v>
      </c>
      <c r="AC109" s="334">
        <f t="shared" si="54"/>
        <v>-40.761052467364856</v>
      </c>
      <c r="AE109" s="333">
        <f t="shared" si="55"/>
        <v>7.2694430243456329</v>
      </c>
      <c r="AF109" s="334">
        <f t="shared" si="56"/>
        <v>-86.148279270901639</v>
      </c>
      <c r="AH109">
        <f t="shared" si="57"/>
        <v>0</v>
      </c>
      <c r="AI109">
        <f t="shared" si="61"/>
        <v>0</v>
      </c>
    </row>
    <row r="110" spans="1:35" x14ac:dyDescent="0.25">
      <c r="A110" s="335">
        <v>5559.4</v>
      </c>
      <c r="B110" s="352">
        <f t="shared" si="59"/>
        <v>5.5593999999999992</v>
      </c>
      <c r="C110" s="325">
        <f t="shared" si="31"/>
        <v>11.883486802189523</v>
      </c>
      <c r="D110" s="326">
        <f t="shared" si="32"/>
        <v>1.4865463075862386</v>
      </c>
      <c r="E110" s="326">
        <f t="shared" si="33"/>
        <v>1.0000976077661121</v>
      </c>
      <c r="F110" s="327">
        <f t="shared" si="34"/>
        <v>1.3971387001769277E-2</v>
      </c>
      <c r="G110" s="326">
        <f t="shared" si="35"/>
        <v>1</v>
      </c>
      <c r="H110" s="327">
        <f t="shared" si="36"/>
        <v>0</v>
      </c>
      <c r="I110" s="325">
        <f t="shared" si="37"/>
        <v>1834.4630637665452</v>
      </c>
      <c r="J110" s="328">
        <f t="shared" si="38"/>
        <v>1.570251208133596</v>
      </c>
      <c r="K110" s="336">
        <f t="shared" si="39"/>
        <v>1.6381706249194423</v>
      </c>
      <c r="L110" s="337">
        <f t="shared" si="40"/>
        <v>0.91418410109592763</v>
      </c>
      <c r="M110" s="325">
        <f t="shared" si="41"/>
        <v>1.0012676724756127</v>
      </c>
      <c r="N110" s="337">
        <f t="shared" si="42"/>
        <v>5.0325634847367164E-2</v>
      </c>
      <c r="O110" s="343">
        <f t="shared" si="43"/>
        <v>1.0005216816113822</v>
      </c>
      <c r="P110" s="691">
        <f t="shared" si="44"/>
        <v>3.2294114609667503E-2</v>
      </c>
      <c r="Q110" s="336">
        <f t="shared" si="60"/>
        <v>4.1626144199513577</v>
      </c>
      <c r="R110" s="692">
        <f t="shared" si="45"/>
        <v>5.4135156905627459E-2</v>
      </c>
      <c r="S110" s="329">
        <f t="shared" si="46"/>
        <v>0.99976650716516513</v>
      </c>
      <c r="T110" s="330">
        <f t="shared" si="47"/>
        <v>3.2182627824282869E-2</v>
      </c>
      <c r="U110" s="331">
        <f t="shared" si="48"/>
        <v>19.458887310335101</v>
      </c>
      <c r="V110" s="332">
        <f t="shared" si="49"/>
        <v>-127.94097919287995</v>
      </c>
      <c r="W110" s="334">
        <f t="shared" si="50"/>
        <v>52.059020807120049</v>
      </c>
      <c r="Y110" s="307">
        <f t="shared" si="51"/>
        <v>1000000000</v>
      </c>
      <c r="Z110" s="307">
        <f t="shared" si="52"/>
        <v>30906928.359999996</v>
      </c>
      <c r="AB110" s="333">
        <f t="shared" si="53"/>
        <v>36.713223755278875</v>
      </c>
      <c r="AC110" s="334">
        <f t="shared" si="54"/>
        <v>-40.473322834934173</v>
      </c>
      <c r="AE110" s="333">
        <f t="shared" si="55"/>
        <v>7.1696569813846676</v>
      </c>
      <c r="AF110" s="334">
        <f t="shared" si="56"/>
        <v>-86.216256812790604</v>
      </c>
      <c r="AH110">
        <f t="shared" si="57"/>
        <v>0</v>
      </c>
      <c r="AI110">
        <f t="shared" si="61"/>
        <v>0</v>
      </c>
    </row>
    <row r="111" spans="1:35" x14ac:dyDescent="0.25">
      <c r="A111" s="335">
        <v>5623.4</v>
      </c>
      <c r="B111" s="352">
        <f t="shared" si="59"/>
        <v>5.6233999999999993</v>
      </c>
      <c r="C111" s="325">
        <f t="shared" si="31"/>
        <v>12.019326634367022</v>
      </c>
      <c r="D111" s="326">
        <f t="shared" si="32"/>
        <v>1.4875007040627148</v>
      </c>
      <c r="E111" s="326">
        <f t="shared" si="33"/>
        <v>1.0000998679166964</v>
      </c>
      <c r="F111" s="327">
        <f t="shared" si="34"/>
        <v>1.4132204786973027E-2</v>
      </c>
      <c r="G111" s="326">
        <f t="shared" si="35"/>
        <v>1</v>
      </c>
      <c r="H111" s="327">
        <f t="shared" si="36"/>
        <v>0</v>
      </c>
      <c r="I111" s="325">
        <f t="shared" si="37"/>
        <v>1855.5814580882336</v>
      </c>
      <c r="J111" s="328">
        <f t="shared" si="38"/>
        <v>1.5702574121360731</v>
      </c>
      <c r="K111" s="336">
        <f t="shared" si="39"/>
        <v>1.6500271233644024</v>
      </c>
      <c r="L111" s="337">
        <f t="shared" si="40"/>
        <v>0.91971026662344135</v>
      </c>
      <c r="M111" s="325">
        <f t="shared" si="41"/>
        <v>1.001297008440345</v>
      </c>
      <c r="N111" s="337">
        <f t="shared" si="42"/>
        <v>5.0903990630730464E-2</v>
      </c>
      <c r="O111" s="343">
        <f t="shared" si="43"/>
        <v>1.0005337587584913</v>
      </c>
      <c r="P111" s="691">
        <f t="shared" si="44"/>
        <v>3.2665622640144568E-2</v>
      </c>
      <c r="Q111" s="336">
        <f t="shared" si="60"/>
        <v>4.16275438459658</v>
      </c>
      <c r="R111" s="692">
        <f t="shared" si="45"/>
        <v>5.4757139737401331E-2</v>
      </c>
      <c r="S111" s="329">
        <f t="shared" si="46"/>
        <v>0.99976110630664805</v>
      </c>
      <c r="T111" s="330">
        <f t="shared" si="47"/>
        <v>3.255342141891767E-2</v>
      </c>
      <c r="U111" s="331">
        <f t="shared" si="48"/>
        <v>19.323005121997532</v>
      </c>
      <c r="V111" s="332">
        <f t="shared" si="49"/>
        <v>-127.7389108063867</v>
      </c>
      <c r="W111" s="334">
        <f t="shared" si="50"/>
        <v>52.261089193613302</v>
      </c>
      <c r="Y111" s="307">
        <f t="shared" si="51"/>
        <v>1000000000</v>
      </c>
      <c r="Z111" s="307">
        <f t="shared" si="52"/>
        <v>31622627.559999995</v>
      </c>
      <c r="AB111" s="333">
        <f t="shared" si="53"/>
        <v>36.676187209688557</v>
      </c>
      <c r="AC111" s="334">
        <f t="shared" si="54"/>
        <v>-40.190189681595157</v>
      </c>
      <c r="AE111" s="333">
        <f t="shared" si="55"/>
        <v>7.0709985445164971</v>
      </c>
      <c r="AF111" s="334">
        <f t="shared" si="56"/>
        <v>-86.282970430631309</v>
      </c>
      <c r="AH111">
        <f t="shared" si="57"/>
        <v>0</v>
      </c>
      <c r="AI111">
        <f t="shared" si="61"/>
        <v>0</v>
      </c>
    </row>
    <row r="112" spans="1:35" x14ac:dyDescent="0.25">
      <c r="A112" s="335">
        <v>5688.9</v>
      </c>
      <c r="B112" s="352">
        <f t="shared" si="59"/>
        <v>5.6888999999999994</v>
      </c>
      <c r="C112" s="325">
        <f t="shared" si="31"/>
        <v>12.158361292309246</v>
      </c>
      <c r="D112" s="326">
        <f t="shared" si="32"/>
        <v>1.4884553866402674</v>
      </c>
      <c r="E112" s="326">
        <f t="shared" si="33"/>
        <v>1.0001022078207982</v>
      </c>
      <c r="F112" s="327">
        <f t="shared" si="34"/>
        <v>1.4296790982019523E-2</v>
      </c>
      <c r="G112" s="326">
        <f t="shared" si="35"/>
        <v>1</v>
      </c>
      <c r="H112" s="327">
        <f t="shared" si="36"/>
        <v>0</v>
      </c>
      <c r="I112" s="325">
        <f t="shared" si="37"/>
        <v>1877.1948148491042</v>
      </c>
      <c r="J112" s="328">
        <f t="shared" si="38"/>
        <v>1.5702636170093238</v>
      </c>
      <c r="K112" s="336">
        <f t="shared" si="39"/>
        <v>1.6622129292026304</v>
      </c>
      <c r="L112" s="337">
        <f t="shared" si="40"/>
        <v>0.92528414812708037</v>
      </c>
      <c r="M112" s="325">
        <f t="shared" si="41"/>
        <v>1.0013273787422257</v>
      </c>
      <c r="N112" s="337">
        <f t="shared" si="42"/>
        <v>5.1495866335379704E-2</v>
      </c>
      <c r="O112" s="343">
        <f t="shared" si="43"/>
        <v>1.0005462619448378</v>
      </c>
      <c r="P112" s="691">
        <f t="shared" si="44"/>
        <v>3.3045828549785099E-2</v>
      </c>
      <c r="Q112" s="336">
        <f t="shared" si="60"/>
        <v>4.1628992835241485</v>
      </c>
      <c r="R112" s="692">
        <f t="shared" si="45"/>
        <v>5.5393656912179602E-2</v>
      </c>
      <c r="S112" s="329">
        <f t="shared" si="46"/>
        <v>0.99975551514430006</v>
      </c>
      <c r="T112" s="330">
        <f t="shared" si="47"/>
        <v>3.2932916372817325E-2</v>
      </c>
      <c r="U112" s="331">
        <f t="shared" si="48"/>
        <v>19.186043660822051</v>
      </c>
      <c r="V112" s="332">
        <f t="shared" si="49"/>
        <v>-127.53551661447734</v>
      </c>
      <c r="W112" s="334">
        <f t="shared" si="50"/>
        <v>52.464483385522655</v>
      </c>
      <c r="Y112" s="307">
        <f t="shared" si="51"/>
        <v>1000000000</v>
      </c>
      <c r="Z112" s="307">
        <f t="shared" si="52"/>
        <v>32363583.209999997</v>
      </c>
      <c r="AB112" s="333">
        <f t="shared" si="53"/>
        <v>36.639248783005598</v>
      </c>
      <c r="AC112" s="334">
        <f t="shared" si="54"/>
        <v>-39.905097288527259</v>
      </c>
      <c r="AE112" s="333">
        <f t="shared" si="55"/>
        <v>6.9711693042254179</v>
      </c>
      <c r="AF112" s="334">
        <f t="shared" si="56"/>
        <v>-86.349983078039003</v>
      </c>
      <c r="AH112">
        <f t="shared" si="57"/>
        <v>0</v>
      </c>
      <c r="AI112">
        <f t="shared" si="61"/>
        <v>0</v>
      </c>
    </row>
    <row r="113" spans="1:35" x14ac:dyDescent="0.25">
      <c r="A113" s="335">
        <v>5754.4</v>
      </c>
      <c r="B113" s="352">
        <f t="shared" si="59"/>
        <v>5.7543999999999995</v>
      </c>
      <c r="C113" s="325">
        <f t="shared" si="31"/>
        <v>12.297406781032992</v>
      </c>
      <c r="D113" s="326">
        <f t="shared" si="32"/>
        <v>1.4893884810607514</v>
      </c>
      <c r="E113" s="326">
        <f t="shared" si="33"/>
        <v>1.0001045748161572</v>
      </c>
      <c r="F113" s="327">
        <f t="shared" si="34"/>
        <v>1.4461376402456344E-2</v>
      </c>
      <c r="G113" s="326">
        <f t="shared" si="35"/>
        <v>1</v>
      </c>
      <c r="H113" s="327">
        <f t="shared" si="36"/>
        <v>0</v>
      </c>
      <c r="I113" s="325">
        <f t="shared" si="37"/>
        <v>1898.8081716806025</v>
      </c>
      <c r="J113" s="328">
        <f t="shared" si="38"/>
        <v>1.5702696806275058</v>
      </c>
      <c r="K113" s="336">
        <f t="shared" si="39"/>
        <v>1.6744496243542712</v>
      </c>
      <c r="L113" s="337">
        <f t="shared" si="40"/>
        <v>0.93077673157096652</v>
      </c>
      <c r="M113" s="325">
        <f t="shared" si="41"/>
        <v>1.0013580998046097</v>
      </c>
      <c r="N113" s="337">
        <f t="shared" si="42"/>
        <v>5.2087705930570695E-2</v>
      </c>
      <c r="O113" s="343">
        <f t="shared" si="43"/>
        <v>1.0005589097630567</v>
      </c>
      <c r="P113" s="691">
        <f t="shared" si="44"/>
        <v>3.3426024902206232E-2</v>
      </c>
      <c r="Q113" s="336">
        <f t="shared" si="60"/>
        <v>4.1630458552960219</v>
      </c>
      <c r="R113" s="692">
        <f t="shared" si="45"/>
        <v>5.6030129703828313E-2</v>
      </c>
      <c r="S113" s="329">
        <f t="shared" si="46"/>
        <v>0.9997498595327704</v>
      </c>
      <c r="T113" s="330">
        <f t="shared" si="47"/>
        <v>3.3312422464439925E-2</v>
      </c>
      <c r="U113" s="331">
        <f t="shared" si="48"/>
        <v>19.051154644265782</v>
      </c>
      <c r="V113" s="332">
        <f t="shared" si="49"/>
        <v>-127.33553207290068</v>
      </c>
      <c r="W113" s="334">
        <f t="shared" si="50"/>
        <v>52.664467927099324</v>
      </c>
      <c r="Y113" s="307">
        <f t="shared" si="51"/>
        <v>1000000000</v>
      </c>
      <c r="Z113" s="307">
        <f t="shared" si="52"/>
        <v>33113119.359999996</v>
      </c>
      <c r="AB113" s="333">
        <f t="shared" si="53"/>
        <v>36.603255984528239</v>
      </c>
      <c r="AC113" s="334">
        <f t="shared" si="54"/>
        <v>-39.624652768932272</v>
      </c>
      <c r="AE113" s="333">
        <f t="shared" si="55"/>
        <v>6.8724691058937477</v>
      </c>
      <c r="AF113" s="334">
        <f t="shared" si="56"/>
        <v>-86.415759497684164</v>
      </c>
      <c r="AH113">
        <f t="shared" si="57"/>
        <v>0</v>
      </c>
      <c r="AI113">
        <f t="shared" si="61"/>
        <v>0</v>
      </c>
    </row>
    <row r="114" spans="1:35" x14ac:dyDescent="0.25">
      <c r="A114" s="335">
        <v>5821.4</v>
      </c>
      <c r="B114" s="352">
        <f t="shared" si="59"/>
        <v>5.8213999999999997</v>
      </c>
      <c r="C114" s="325">
        <f t="shared" si="31"/>
        <v>12.439647344635134</v>
      </c>
      <c r="D114" s="326">
        <f t="shared" si="32"/>
        <v>1.4903213616811628</v>
      </c>
      <c r="E114" s="326">
        <f t="shared" si="33"/>
        <v>1.0001070240462928</v>
      </c>
      <c r="F114" s="327">
        <f t="shared" si="34"/>
        <v>1.4629730143947379E-2</v>
      </c>
      <c r="G114" s="326">
        <f t="shared" si="35"/>
        <v>1</v>
      </c>
      <c r="H114" s="327">
        <f t="shared" si="36"/>
        <v>0</v>
      </c>
      <c r="I114" s="325">
        <f t="shared" si="37"/>
        <v>1920.9164909528747</v>
      </c>
      <c r="J114" s="328">
        <f t="shared" si="38"/>
        <v>1.5702757419335152</v>
      </c>
      <c r="K114" s="336">
        <f t="shared" si="39"/>
        <v>1.6870180454584132</v>
      </c>
      <c r="L114" s="337">
        <f t="shared" si="40"/>
        <v>0.9363124899823162</v>
      </c>
      <c r="M114" s="325">
        <f t="shared" si="41"/>
        <v>1.0013898872706222</v>
      </c>
      <c r="N114" s="337">
        <f t="shared" si="42"/>
        <v>5.2693061316197103E-2</v>
      </c>
      <c r="O114" s="343">
        <f t="shared" si="43"/>
        <v>1.000571996858318</v>
      </c>
      <c r="P114" s="691">
        <f t="shared" si="44"/>
        <v>3.3814918039090411E-2</v>
      </c>
      <c r="Q114" s="336">
        <f t="shared" si="60"/>
        <v>4.1631975142362414</v>
      </c>
      <c r="R114" s="692">
        <f t="shared" si="45"/>
        <v>5.6681131762740318E-2</v>
      </c>
      <c r="S114" s="329">
        <f t="shared" si="46"/>
        <v>0.99974400773418037</v>
      </c>
      <c r="T114" s="330">
        <f t="shared" si="47"/>
        <v>3.3700631192185887E-2</v>
      </c>
      <c r="U114" s="331">
        <f t="shared" si="48"/>
        <v>18.915262610748879</v>
      </c>
      <c r="V114" s="332">
        <f t="shared" si="49"/>
        <v>-127.13445269541248</v>
      </c>
      <c r="W114" s="334">
        <f t="shared" si="50"/>
        <v>52.865547304587523</v>
      </c>
      <c r="Y114" s="307">
        <f t="shared" si="51"/>
        <v>1000000000</v>
      </c>
      <c r="Z114" s="307">
        <f t="shared" si="52"/>
        <v>33888697.959999993</v>
      </c>
      <c r="AB114" s="333">
        <f t="shared" si="53"/>
        <v>36.567385238314486</v>
      </c>
      <c r="AC114" s="334">
        <f t="shared" si="54"/>
        <v>-39.342508771190076</v>
      </c>
      <c r="AE114" s="333">
        <f t="shared" si="55"/>
        <v>6.7726506292504851</v>
      </c>
      <c r="AF114" s="334">
        <f t="shared" si="56"/>
        <v>-86.481806382916076</v>
      </c>
      <c r="AH114">
        <f t="shared" si="57"/>
        <v>0</v>
      </c>
      <c r="AI114">
        <f t="shared" si="61"/>
        <v>0</v>
      </c>
    </row>
    <row r="115" spans="1:35" x14ac:dyDescent="0.25">
      <c r="A115" s="335">
        <v>5888.4</v>
      </c>
      <c r="B115" s="352">
        <f t="shared" si="59"/>
        <v>5.8883999999999999</v>
      </c>
      <c r="C115" s="325">
        <f t="shared" si="31"/>
        <v>12.581898489261876</v>
      </c>
      <c r="D115" s="326">
        <f t="shared" si="32"/>
        <v>1.4912331487538957</v>
      </c>
      <c r="E115" s="326">
        <f t="shared" si="33"/>
        <v>1.0001095016223049</v>
      </c>
      <c r="F115" s="327">
        <f t="shared" si="34"/>
        <v>1.4798083056082975E-2</v>
      </c>
      <c r="G115" s="326">
        <f t="shared" si="35"/>
        <v>1</v>
      </c>
      <c r="H115" s="327">
        <f t="shared" si="36"/>
        <v>0</v>
      </c>
      <c r="I115" s="325">
        <f t="shared" si="37"/>
        <v>1943.0248102941141</v>
      </c>
      <c r="J115" s="328">
        <f t="shared" si="38"/>
        <v>1.5702816653048075</v>
      </c>
      <c r="K115" s="336">
        <f t="shared" si="39"/>
        <v>1.699637399085683</v>
      </c>
      <c r="L115" s="337">
        <f t="shared" si="40"/>
        <v>0.94176621040796704</v>
      </c>
      <c r="M115" s="325">
        <f t="shared" si="41"/>
        <v>1.001422041677734</v>
      </c>
      <c r="N115" s="337">
        <f t="shared" si="42"/>
        <v>5.3298378049227123E-2</v>
      </c>
      <c r="O115" s="343">
        <f t="shared" si="43"/>
        <v>1.000585235273987</v>
      </c>
      <c r="P115" s="691">
        <f t="shared" si="44"/>
        <v>3.4203800944151562E-2</v>
      </c>
      <c r="Q115" s="336">
        <f t="shared" si="60"/>
        <v>4.1633509231407908</v>
      </c>
      <c r="R115" s="692">
        <f t="shared" si="45"/>
        <v>5.7332086314432443E-2</v>
      </c>
      <c r="S115" s="329">
        <f t="shared" si="46"/>
        <v>0.99973808852268153</v>
      </c>
      <c r="T115" s="330">
        <f t="shared" si="47"/>
        <v>3.4088851845049499E-2</v>
      </c>
      <c r="U115" s="331">
        <f t="shared" si="48"/>
        <v>18.781423142870711</v>
      </c>
      <c r="V115" s="332">
        <f t="shared" si="49"/>
        <v>-126.93685365435837</v>
      </c>
      <c r="W115" s="334">
        <f t="shared" si="50"/>
        <v>53.063146345641627</v>
      </c>
      <c r="Y115" s="307">
        <f t="shared" si="51"/>
        <v>1000000000</v>
      </c>
      <c r="Z115" s="307">
        <f t="shared" si="52"/>
        <v>34673254.559999995</v>
      </c>
      <c r="AB115" s="333">
        <f t="shared" si="53"/>
        <v>36.532440131692049</v>
      </c>
      <c r="AC115" s="334">
        <f t="shared" si="54"/>
        <v>-39.065055086085763</v>
      </c>
      <c r="AE115" s="333">
        <f t="shared" si="55"/>
        <v>6.6739614059357919</v>
      </c>
      <c r="AF115" s="334">
        <f t="shared" si="56"/>
        <v>-86.54664542766713</v>
      </c>
      <c r="AH115">
        <f t="shared" si="57"/>
        <v>0</v>
      </c>
      <c r="AI115">
        <f t="shared" si="61"/>
        <v>0</v>
      </c>
    </row>
    <row r="116" spans="1:35" x14ac:dyDescent="0.25">
      <c r="A116" s="335">
        <v>5957</v>
      </c>
      <c r="B116" s="352">
        <f t="shared" si="59"/>
        <v>5.9569999999999999</v>
      </c>
      <c r="C116" s="325">
        <f t="shared" si="31"/>
        <v>12.72755726869541</v>
      </c>
      <c r="D116" s="326">
        <f t="shared" si="32"/>
        <v>1.49214559177191</v>
      </c>
      <c r="E116" s="326">
        <f t="shared" si="33"/>
        <v>1.0001120677334248</v>
      </c>
      <c r="F116" s="327">
        <f t="shared" si="34"/>
        <v>1.4970455467009442E-2</v>
      </c>
      <c r="G116" s="326">
        <f t="shared" si="35"/>
        <v>1</v>
      </c>
      <c r="H116" s="327">
        <f t="shared" si="36"/>
        <v>0</v>
      </c>
      <c r="I116" s="325">
        <f t="shared" si="37"/>
        <v>1965.6610895692463</v>
      </c>
      <c r="J116" s="328">
        <f t="shared" si="38"/>
        <v>1.5702875920753452</v>
      </c>
      <c r="K116" s="336">
        <f t="shared" si="39"/>
        <v>1.7126097060531325</v>
      </c>
      <c r="L116" s="337">
        <f t="shared" si="40"/>
        <v>0.94726672787492772</v>
      </c>
      <c r="M116" s="325">
        <f t="shared" si="41"/>
        <v>1.0014553441042573</v>
      </c>
      <c r="N116" s="337">
        <f t="shared" si="42"/>
        <v>5.3918109599687555E-2</v>
      </c>
      <c r="O116" s="343">
        <f t="shared" si="43"/>
        <v>1.0005989466086407</v>
      </c>
      <c r="P116" s="691">
        <f t="shared" si="44"/>
        <v>3.4601959881489203E-2</v>
      </c>
      <c r="Q116" s="336">
        <f t="shared" si="60"/>
        <v>4.1635098084881577</v>
      </c>
      <c r="R116" s="692">
        <f t="shared" si="45"/>
        <v>5.7998536263304756E-2</v>
      </c>
      <c r="S116" s="329">
        <f t="shared" si="46"/>
        <v>0.99973195812174676</v>
      </c>
      <c r="T116" s="330">
        <f t="shared" si="47"/>
        <v>3.4486355937901843E-2</v>
      </c>
      <c r="U116" s="331">
        <f t="shared" si="48"/>
        <v>18.646456289975209</v>
      </c>
      <c r="V116" s="332">
        <f t="shared" si="49"/>
        <v>-126.73809497117651</v>
      </c>
      <c r="W116" s="334">
        <f t="shared" si="50"/>
        <v>53.261905028823492</v>
      </c>
      <c r="Y116" s="307">
        <f t="shared" si="51"/>
        <v>1000000000</v>
      </c>
      <c r="Z116" s="307">
        <f t="shared" si="52"/>
        <v>35485849</v>
      </c>
      <c r="AB116" s="333">
        <f t="shared" si="53"/>
        <v>36.497587835178344</v>
      </c>
      <c r="AC116" s="334">
        <f t="shared" si="54"/>
        <v>-38.785746230982198</v>
      </c>
      <c r="AE116" s="333">
        <f t="shared" si="55"/>
        <v>6.5740592968883771</v>
      </c>
      <c r="AF116" s="334">
        <f t="shared" si="56"/>
        <v>-86.611823656929047</v>
      </c>
      <c r="AH116">
        <f t="shared" si="57"/>
        <v>0</v>
      </c>
      <c r="AI116">
        <f t="shared" si="61"/>
        <v>0</v>
      </c>
    </row>
    <row r="117" spans="1:35" x14ac:dyDescent="0.25">
      <c r="A117" s="335">
        <v>6025.6</v>
      </c>
      <c r="B117" s="352">
        <f t="shared" si="59"/>
        <v>6.0256000000000007</v>
      </c>
      <c r="C117" s="325">
        <f t="shared" si="31"/>
        <v>12.873226404687827</v>
      </c>
      <c r="D117" s="326">
        <f t="shared" si="32"/>
        <v>1.4930373857167776</v>
      </c>
      <c r="E117" s="326">
        <f t="shared" si="33"/>
        <v>1.0001146635599696</v>
      </c>
      <c r="F117" s="327">
        <f t="shared" si="34"/>
        <v>1.514282698826227E-2</v>
      </c>
      <c r="G117" s="326">
        <f t="shared" si="35"/>
        <v>1</v>
      </c>
      <c r="H117" s="327">
        <f t="shared" si="36"/>
        <v>0</v>
      </c>
      <c r="I117" s="325">
        <f t="shared" si="37"/>
        <v>1988.2973689118535</v>
      </c>
      <c r="J117" s="328">
        <f t="shared" si="38"/>
        <v>1.5702933838962165</v>
      </c>
      <c r="K117" s="336">
        <f t="shared" si="39"/>
        <v>1.7256330492585283</v>
      </c>
      <c r="L117" s="337">
        <f t="shared" si="40"/>
        <v>0.95268438245422038</v>
      </c>
      <c r="M117" s="325">
        <f t="shared" si="41"/>
        <v>1.0014890311312592</v>
      </c>
      <c r="N117" s="337">
        <f t="shared" si="42"/>
        <v>5.4537799696390714E-2</v>
      </c>
      <c r="O117" s="343">
        <f t="shared" si="43"/>
        <v>1.000612816564423</v>
      </c>
      <c r="P117" s="691">
        <f t="shared" si="44"/>
        <v>3.5000107843814632E-2</v>
      </c>
      <c r="Q117" s="336">
        <f t="shared" si="60"/>
        <v>4.1636705279654498</v>
      </c>
      <c r="R117" s="692">
        <f t="shared" si="45"/>
        <v>5.8664935264065868E-2</v>
      </c>
      <c r="S117" s="329">
        <f t="shared" si="46"/>
        <v>0.99972575707383027</v>
      </c>
      <c r="T117" s="330">
        <f t="shared" si="47"/>
        <v>3.4883872823435247E-2</v>
      </c>
      <c r="U117" s="331">
        <f t="shared" si="48"/>
        <v>18.513525738961444</v>
      </c>
      <c r="V117" s="332">
        <f t="shared" si="49"/>
        <v>-126.54288926347783</v>
      </c>
      <c r="W117" s="334">
        <f t="shared" si="50"/>
        <v>53.457110736522168</v>
      </c>
      <c r="Y117" s="307">
        <f t="shared" si="51"/>
        <v>1000000000</v>
      </c>
      <c r="Z117" s="307">
        <f t="shared" si="52"/>
        <v>36307855.360000007</v>
      </c>
      <c r="AB117" s="333">
        <f t="shared" si="53"/>
        <v>36.463642699203838</v>
      </c>
      <c r="AC117" s="334">
        <f t="shared" si="54"/>
        <v>-38.511174962454035</v>
      </c>
      <c r="AE117" s="333">
        <f t="shared" si="55"/>
        <v>6.4752887674475641</v>
      </c>
      <c r="AF117" s="334">
        <f t="shared" si="56"/>
        <v>-86.675819565388622</v>
      </c>
      <c r="AH117">
        <f t="shared" si="57"/>
        <v>0</v>
      </c>
      <c r="AI117">
        <f t="shared" si="61"/>
        <v>0</v>
      </c>
    </row>
    <row r="118" spans="1:35" x14ac:dyDescent="0.25">
      <c r="A118" s="335">
        <v>6095.8</v>
      </c>
      <c r="B118" s="352">
        <f t="shared" si="59"/>
        <v>6.0958000000000006</v>
      </c>
      <c r="C118" s="325">
        <f t="shared" si="31"/>
        <v>13.022303430652796</v>
      </c>
      <c r="D118" s="326">
        <f t="shared" si="32"/>
        <v>1.4939293239181282</v>
      </c>
      <c r="E118" s="326">
        <f t="shared" si="33"/>
        <v>1.0001173506934464</v>
      </c>
      <c r="F118" s="327">
        <f t="shared" si="34"/>
        <v>1.5319217904820878E-2</v>
      </c>
      <c r="G118" s="326">
        <f t="shared" si="35"/>
        <v>1</v>
      </c>
      <c r="H118" s="327">
        <f t="shared" si="36"/>
        <v>0</v>
      </c>
      <c r="I118" s="325">
        <f t="shared" si="37"/>
        <v>2011.4616081899865</v>
      </c>
      <c r="J118" s="328">
        <f t="shared" si="38"/>
        <v>1.5702991758489768</v>
      </c>
      <c r="K118" s="336">
        <f t="shared" si="39"/>
        <v>1.7390117832493726</v>
      </c>
      <c r="L118" s="337">
        <f t="shared" si="40"/>
        <v>0.95814422624684503</v>
      </c>
      <c r="M118" s="325">
        <f t="shared" si="41"/>
        <v>1.0015239019815207</v>
      </c>
      <c r="N118" s="337">
        <f t="shared" si="42"/>
        <v>5.5171899798956155E-2</v>
      </c>
      <c r="O118" s="343">
        <f t="shared" si="43"/>
        <v>1.0006271742245345</v>
      </c>
      <c r="P118" s="691">
        <f t="shared" si="44"/>
        <v>3.540753056280966E-2</v>
      </c>
      <c r="Q118" s="336">
        <f t="shared" si="60"/>
        <v>4.1638368945770106</v>
      </c>
      <c r="R118" s="692">
        <f t="shared" si="45"/>
        <v>5.9346823750436893E-2</v>
      </c>
      <c r="S118" s="329">
        <f t="shared" si="46"/>
        <v>0.99971933827018444</v>
      </c>
      <c r="T118" s="330">
        <f t="shared" si="47"/>
        <v>3.5290674637244904E-2</v>
      </c>
      <c r="U118" s="331">
        <f t="shared" si="48"/>
        <v>18.379545230521877</v>
      </c>
      <c r="V118" s="332">
        <f t="shared" si="49"/>
        <v>-126.34675796783141</v>
      </c>
      <c r="W118" s="334">
        <f t="shared" si="50"/>
        <v>53.653242032168592</v>
      </c>
      <c r="Y118" s="307">
        <f t="shared" si="51"/>
        <v>1000000000</v>
      </c>
      <c r="Z118" s="307">
        <f t="shared" si="52"/>
        <v>37158777.640000001</v>
      </c>
      <c r="AB118" s="333">
        <f t="shared" si="53"/>
        <v>36.429813569570243</v>
      </c>
      <c r="AC118" s="334">
        <f t="shared" si="54"/>
        <v>-38.235012070134495</v>
      </c>
      <c r="AE118" s="333">
        <f t="shared" si="55"/>
        <v>6.3753598095759525</v>
      </c>
      <c r="AF118" s="334">
        <f t="shared" si="56"/>
        <v>-86.740125431952279</v>
      </c>
      <c r="AH118">
        <f t="shared" si="57"/>
        <v>0</v>
      </c>
      <c r="AI118">
        <f t="shared" si="61"/>
        <v>0</v>
      </c>
    </row>
    <row r="119" spans="1:35" x14ac:dyDescent="0.25">
      <c r="A119" s="335">
        <v>6166</v>
      </c>
      <c r="B119" s="352">
        <f t="shared" si="59"/>
        <v>6.1660000000000004</v>
      </c>
      <c r="C119" s="325">
        <f t="shared" si="31"/>
        <v>13.171390582042687</v>
      </c>
      <c r="D119" s="326">
        <f t="shared" si="32"/>
        <v>1.4948010710784079</v>
      </c>
      <c r="E119" s="326">
        <f t="shared" si="33"/>
        <v>1.0001200689441618</v>
      </c>
      <c r="F119" s="327">
        <f t="shared" si="34"/>
        <v>1.5495607868033267E-2</v>
      </c>
      <c r="G119" s="326">
        <f t="shared" si="35"/>
        <v>1</v>
      </c>
      <c r="H119" s="327">
        <f t="shared" si="36"/>
        <v>0</v>
      </c>
      <c r="I119" s="325">
        <f t="shared" si="37"/>
        <v>2034.6258475340612</v>
      </c>
      <c r="J119" s="328">
        <f t="shared" si="38"/>
        <v>1.5703048359188359</v>
      </c>
      <c r="K119" s="336">
        <f t="shared" si="39"/>
        <v>1.7524415645795588</v>
      </c>
      <c r="L119" s="337">
        <f t="shared" si="40"/>
        <v>0.96352054558412492</v>
      </c>
      <c r="M119" s="325">
        <f t="shared" si="41"/>
        <v>1.0015591754993221</v>
      </c>
      <c r="N119" s="337">
        <f t="shared" si="42"/>
        <v>5.5805955492206571E-2</v>
      </c>
      <c r="O119" s="343">
        <f t="shared" si="43"/>
        <v>1.0006416979772421</v>
      </c>
      <c r="P119" s="691">
        <f t="shared" si="44"/>
        <v>3.5814941522406281E-2</v>
      </c>
      <c r="Q119" s="336">
        <f t="shared" si="60"/>
        <v>4.1640051814207508</v>
      </c>
      <c r="R119" s="692">
        <f t="shared" si="45"/>
        <v>6.0028657658418451E-2</v>
      </c>
      <c r="S119" s="329">
        <f t="shared" si="46"/>
        <v>0.99971284551206752</v>
      </c>
      <c r="T119" s="330">
        <f t="shared" si="47"/>
        <v>3.5697490159581562E-2</v>
      </c>
      <c r="U119" s="331">
        <f t="shared" si="48"/>
        <v>18.24758222834976</v>
      </c>
      <c r="V119" s="332">
        <f t="shared" si="49"/>
        <v>-126.15424369544515</v>
      </c>
      <c r="W119" s="334">
        <f t="shared" si="50"/>
        <v>53.845756304554854</v>
      </c>
      <c r="Y119" s="307">
        <f t="shared" si="51"/>
        <v>1000000000</v>
      </c>
      <c r="Z119" s="307">
        <f t="shared" si="52"/>
        <v>38019556</v>
      </c>
      <c r="AB119" s="333">
        <f t="shared" si="53"/>
        <v>36.396871878546555</v>
      </c>
      <c r="AC119" s="334">
        <f t="shared" si="54"/>
        <v>-37.963624675797845</v>
      </c>
      <c r="AE119" s="333">
        <f t="shared" si="55"/>
        <v>6.2765634710484077</v>
      </c>
      <c r="AF119" s="334">
        <f t="shared" si="56"/>
        <v>-86.803275277140742</v>
      </c>
      <c r="AH119">
        <f t="shared" si="57"/>
        <v>0</v>
      </c>
      <c r="AI119">
        <f t="shared" si="61"/>
        <v>0</v>
      </c>
    </row>
    <row r="120" spans="1:35" x14ac:dyDescent="0.25">
      <c r="A120" s="335">
        <v>6237.8</v>
      </c>
      <c r="B120" s="352">
        <f t="shared" si="59"/>
        <v>6.2378</v>
      </c>
      <c r="C120" s="325">
        <f t="shared" si="31"/>
        <v>13.323885851134065</v>
      </c>
      <c r="D120" s="326">
        <f t="shared" si="32"/>
        <v>1.4956725056406486</v>
      </c>
      <c r="E120" s="326">
        <f t="shared" si="33"/>
        <v>1.0001228813382037</v>
      </c>
      <c r="F120" s="327">
        <f t="shared" si="34"/>
        <v>1.5676017117688203E-2</v>
      </c>
      <c r="G120" s="326">
        <f t="shared" si="35"/>
        <v>1</v>
      </c>
      <c r="H120" s="327">
        <f t="shared" si="36"/>
        <v>0</v>
      </c>
      <c r="I120" s="325">
        <f t="shared" si="37"/>
        <v>2058.3180468151186</v>
      </c>
      <c r="J120" s="328">
        <f t="shared" si="38"/>
        <v>1.5703104932081551</v>
      </c>
      <c r="K120" s="336">
        <f t="shared" si="39"/>
        <v>1.7662290298710637</v>
      </c>
      <c r="L120" s="337">
        <f t="shared" si="40"/>
        <v>0.96893466617023905</v>
      </c>
      <c r="M120" s="325">
        <f t="shared" si="41"/>
        <v>1.001595669466139</v>
      </c>
      <c r="N120" s="337">
        <f t="shared" si="42"/>
        <v>5.6454416131688848E-2</v>
      </c>
      <c r="O120" s="343">
        <f t="shared" si="43"/>
        <v>1.00065672456223</v>
      </c>
      <c r="P120" s="691">
        <f t="shared" si="44"/>
        <v>3.6231625896964166E-2</v>
      </c>
      <c r="Q120" s="336">
        <f t="shared" si="60"/>
        <v>4.1641792899993177</v>
      </c>
      <c r="R120" s="692">
        <f t="shared" si="45"/>
        <v>6.0725974836058239E-2</v>
      </c>
      <c r="S120" s="329">
        <f t="shared" si="46"/>
        <v>0.99970612828299632</v>
      </c>
      <c r="T120" s="330">
        <f t="shared" si="47"/>
        <v>3.6113592175880685E-2</v>
      </c>
      <c r="U120" s="331">
        <f t="shared" si="48"/>
        <v>18.114641272751257</v>
      </c>
      <c r="V120" s="332">
        <f t="shared" si="49"/>
        <v>-125.96102843102751</v>
      </c>
      <c r="W120" s="334">
        <f t="shared" si="50"/>
        <v>54.038971568972485</v>
      </c>
      <c r="Y120" s="307">
        <f t="shared" si="51"/>
        <v>1000000000</v>
      </c>
      <c r="Z120" s="307">
        <f t="shared" si="52"/>
        <v>38910148.840000004</v>
      </c>
      <c r="AB120" s="333">
        <f t="shared" si="53"/>
        <v>36.364066372577739</v>
      </c>
      <c r="AC120" s="334">
        <f t="shared" si="54"/>
        <v>-37.690896612751139</v>
      </c>
      <c r="AE120" s="333">
        <f t="shared" si="55"/>
        <v>6.1766607603267776</v>
      </c>
      <c r="AF120" s="334">
        <f t="shared" si="56"/>
        <v>-86.866709000541917</v>
      </c>
      <c r="AH120">
        <f t="shared" si="57"/>
        <v>0</v>
      </c>
      <c r="AI120">
        <f t="shared" si="61"/>
        <v>0</v>
      </c>
    </row>
    <row r="121" spans="1:35" x14ac:dyDescent="0.25">
      <c r="A121" s="335">
        <v>6309.6</v>
      </c>
      <c r="B121" s="352">
        <f t="shared" si="59"/>
        <v>6.3096000000000005</v>
      </c>
      <c r="C121" s="325">
        <f t="shared" si="31"/>
        <v>13.476391009367639</v>
      </c>
      <c r="D121" s="326">
        <f t="shared" si="32"/>
        <v>1.4965242177134856</v>
      </c>
      <c r="E121" s="326">
        <f t="shared" si="33"/>
        <v>1.0001257262835588</v>
      </c>
      <c r="F121" s="327">
        <f t="shared" si="34"/>
        <v>1.5856425346835082E-2</v>
      </c>
      <c r="G121" s="326">
        <f t="shared" si="35"/>
        <v>1</v>
      </c>
      <c r="H121" s="327">
        <f t="shared" si="36"/>
        <v>0</v>
      </c>
      <c r="I121" s="325">
        <f t="shared" si="37"/>
        <v>2082.0102461605529</v>
      </c>
      <c r="J121" s="328">
        <f t="shared" si="38"/>
        <v>1.570316021743424</v>
      </c>
      <c r="K121" s="336">
        <f t="shared" si="39"/>
        <v>1.7800674652181281</v>
      </c>
      <c r="L121" s="337">
        <f t="shared" si="40"/>
        <v>0.97426476107312276</v>
      </c>
      <c r="M121" s="325">
        <f t="shared" si="41"/>
        <v>1.0016325845743441</v>
      </c>
      <c r="N121" s="337">
        <f t="shared" si="42"/>
        <v>5.7102829245857807E-2</v>
      </c>
      <c r="O121" s="343">
        <f t="shared" si="43"/>
        <v>1.0006719248818745</v>
      </c>
      <c r="P121" s="691">
        <f t="shared" si="44"/>
        <v>3.6648297684899744E-2</v>
      </c>
      <c r="Q121" s="336">
        <f t="shared" si="60"/>
        <v>4.1643554068440913</v>
      </c>
      <c r="R121" s="692">
        <f t="shared" si="45"/>
        <v>6.1423233608262531E-2</v>
      </c>
      <c r="S121" s="329">
        <f t="shared" si="46"/>
        <v>0.99969933371883735</v>
      </c>
      <c r="T121" s="330">
        <f t="shared" si="47"/>
        <v>3.6529708866781085E-2</v>
      </c>
      <c r="U121" s="331">
        <f t="shared" si="48"/>
        <v>17.983696752424322</v>
      </c>
      <c r="V121" s="332">
        <f t="shared" si="49"/>
        <v>-125.77148564220494</v>
      </c>
      <c r="W121" s="334">
        <f t="shared" si="50"/>
        <v>54.228514357795063</v>
      </c>
      <c r="Y121" s="307">
        <f t="shared" si="51"/>
        <v>1000000000</v>
      </c>
      <c r="Z121" s="307">
        <f t="shared" si="52"/>
        <v>39811052.160000004</v>
      </c>
      <c r="AB121" s="333">
        <f t="shared" si="53"/>
        <v>36.332127515549018</v>
      </c>
      <c r="AC121" s="334">
        <f t="shared" si="54"/>
        <v>-37.42297276666617</v>
      </c>
      <c r="AE121" s="333">
        <f t="shared" si="55"/>
        <v>6.0778905034674651</v>
      </c>
      <c r="AF121" s="334">
        <f t="shared" si="56"/>
        <v>-86.929013607801011</v>
      </c>
      <c r="AH121">
        <f t="shared" si="57"/>
        <v>0</v>
      </c>
      <c r="AI121">
        <f t="shared" si="61"/>
        <v>0</v>
      </c>
    </row>
    <row r="122" spans="1:35" x14ac:dyDescent="0.25">
      <c r="A122" s="335">
        <v>6383.05</v>
      </c>
      <c r="B122" s="352">
        <f t="shared" si="59"/>
        <v>6.3830499999999999</v>
      </c>
      <c r="C122" s="325">
        <f t="shared" si="31"/>
        <v>13.632410699195042</v>
      </c>
      <c r="D122" s="326">
        <f t="shared" si="32"/>
        <v>1.4973757838855883</v>
      </c>
      <c r="E122" s="326">
        <f t="shared" si="33"/>
        <v>1.0001286702888714</v>
      </c>
      <c r="F122" s="327">
        <f t="shared" si="34"/>
        <v>1.6040978379352526E-2</v>
      </c>
      <c r="G122" s="326">
        <f t="shared" si="35"/>
        <v>1</v>
      </c>
      <c r="H122" s="327">
        <f t="shared" si="36"/>
        <v>0</v>
      </c>
      <c r="I122" s="325">
        <f t="shared" si="37"/>
        <v>2106.2469041903905</v>
      </c>
      <c r="J122" s="328">
        <f t="shared" si="38"/>
        <v>1.5703215486311497</v>
      </c>
      <c r="K122" s="336">
        <f t="shared" si="39"/>
        <v>1.7942754255744768</v>
      </c>
      <c r="L122" s="337">
        <f t="shared" si="40"/>
        <v>0.97963211502602776</v>
      </c>
      <c r="M122" s="325">
        <f t="shared" si="41"/>
        <v>1.0016707837313452</v>
      </c>
      <c r="N122" s="337">
        <f t="shared" si="42"/>
        <v>5.7766093479418586E-2</v>
      </c>
      <c r="O122" s="343">
        <f t="shared" si="43"/>
        <v>1.0006876542735266</v>
      </c>
      <c r="P122" s="691">
        <f t="shared" si="44"/>
        <v>3.7074531625370263E-2</v>
      </c>
      <c r="Q122" s="336">
        <f t="shared" si="60"/>
        <v>4.1645376486995449</v>
      </c>
      <c r="R122" s="692">
        <f t="shared" si="45"/>
        <v>6.2136454611983388E-2</v>
      </c>
      <c r="S122" s="329">
        <f t="shared" si="46"/>
        <v>0.99969230300640555</v>
      </c>
      <c r="T122" s="330">
        <f t="shared" si="47"/>
        <v>3.695540348831651E-2</v>
      </c>
      <c r="U122" s="331">
        <f t="shared" si="48"/>
        <v>17.851752003632186</v>
      </c>
      <c r="V122" s="332">
        <f t="shared" si="49"/>
        <v>-125.58132851241137</v>
      </c>
      <c r="W122" s="334">
        <f t="shared" si="50"/>
        <v>54.418671487588625</v>
      </c>
      <c r="Y122" s="307">
        <f t="shared" si="51"/>
        <v>1000000000</v>
      </c>
      <c r="Z122" s="307">
        <f t="shared" si="52"/>
        <v>40743327.302500002</v>
      </c>
      <c r="AB122" s="333">
        <f t="shared" si="53"/>
        <v>36.300320851217954</v>
      </c>
      <c r="AC122" s="334">
        <f t="shared" si="54"/>
        <v>-37.15376494632978</v>
      </c>
      <c r="AE122" s="333">
        <f t="shared" si="55"/>
        <v>5.9779959944266894</v>
      </c>
      <c r="AF122" s="334">
        <f t="shared" si="56"/>
        <v>-86.991621150825964</v>
      </c>
      <c r="AH122">
        <f t="shared" si="57"/>
        <v>0</v>
      </c>
      <c r="AI122">
        <f t="shared" si="61"/>
        <v>0</v>
      </c>
    </row>
    <row r="123" spans="1:35" x14ac:dyDescent="0.25">
      <c r="A123" s="335">
        <v>6456.5</v>
      </c>
      <c r="B123" s="352">
        <f t="shared" si="59"/>
        <v>6.4565000000000001</v>
      </c>
      <c r="C123" s="325">
        <f t="shared" si="31"/>
        <v>13.78844005104523</v>
      </c>
      <c r="D123" s="326">
        <f t="shared" si="32"/>
        <v>1.4982080780828329</v>
      </c>
      <c r="E123" s="326">
        <f t="shared" si="33"/>
        <v>1.0001316483581872</v>
      </c>
      <c r="F123" s="327">
        <f t="shared" si="34"/>
        <v>1.6225530319076989E-2</v>
      </c>
      <c r="G123" s="326">
        <f t="shared" si="35"/>
        <v>1</v>
      </c>
      <c r="H123" s="327">
        <f t="shared" si="36"/>
        <v>0</v>
      </c>
      <c r="I123" s="325">
        <f t="shared" si="37"/>
        <v>2130.4835622831024</v>
      </c>
      <c r="J123" s="328">
        <f t="shared" si="38"/>
        <v>1.5703269497696886</v>
      </c>
      <c r="K123" s="336">
        <f t="shared" si="39"/>
        <v>1.8085342632674963</v>
      </c>
      <c r="L123" s="337">
        <f t="shared" si="40"/>
        <v>0.98491498464433913</v>
      </c>
      <c r="M123" s="325">
        <f t="shared" si="41"/>
        <v>1.0017094235090793</v>
      </c>
      <c r="N123" s="337">
        <f t="shared" si="42"/>
        <v>5.8429306835426013E-2</v>
      </c>
      <c r="O123" s="343">
        <f t="shared" si="43"/>
        <v>1.000703565459746</v>
      </c>
      <c r="P123" s="691">
        <f t="shared" si="44"/>
        <v>3.7500752089033612E-2</v>
      </c>
      <c r="Q123" s="336">
        <f t="shared" si="60"/>
        <v>4.1647219916412412</v>
      </c>
      <c r="R123" s="692">
        <f t="shared" si="45"/>
        <v>6.284961309335603E-2</v>
      </c>
      <c r="S123" s="329">
        <f t="shared" si="46"/>
        <v>0.99968519139535394</v>
      </c>
      <c r="T123" s="330">
        <f t="shared" si="47"/>
        <v>3.7381113824256892E-2</v>
      </c>
      <c r="U123" s="331">
        <f t="shared" si="48"/>
        <v>17.721783243874118</v>
      </c>
      <c r="V123" s="332">
        <f t="shared" si="49"/>
        <v>-125.39489580851924</v>
      </c>
      <c r="W123" s="334">
        <f t="shared" si="50"/>
        <v>54.605104191480763</v>
      </c>
      <c r="Y123" s="307">
        <f t="shared" si="51"/>
        <v>1000000000</v>
      </c>
      <c r="Z123" s="307">
        <f t="shared" si="52"/>
        <v>41686392.25</v>
      </c>
      <c r="AB123" s="333">
        <f t="shared" si="53"/>
        <v>36.269360278265346</v>
      </c>
      <c r="AC123" s="334">
        <f t="shared" si="54"/>
        <v>-36.889387601839331</v>
      </c>
      <c r="AE123" s="333">
        <f t="shared" si="55"/>
        <v>5.8792341726158739</v>
      </c>
      <c r="AF123" s="334">
        <f t="shared" si="56"/>
        <v>-87.053125454008892</v>
      </c>
      <c r="AH123">
        <f t="shared" si="57"/>
        <v>0</v>
      </c>
      <c r="AI123">
        <f t="shared" si="61"/>
        <v>0</v>
      </c>
    </row>
    <row r="124" spans="1:35" x14ac:dyDescent="0.25">
      <c r="A124" s="335">
        <v>6531.7</v>
      </c>
      <c r="B124" s="352">
        <f t="shared" si="59"/>
        <v>6.5316999999999998</v>
      </c>
      <c r="C124" s="325">
        <f t="shared" si="31"/>
        <v>13.948196587859929</v>
      </c>
      <c r="D124" s="326">
        <f t="shared" si="32"/>
        <v>1.499040910284601</v>
      </c>
      <c r="E124" s="326">
        <f t="shared" si="33"/>
        <v>1.0001347326729373</v>
      </c>
      <c r="F124" s="327">
        <f t="shared" si="34"/>
        <v>1.6414478198543178E-2</v>
      </c>
      <c r="G124" s="326">
        <f t="shared" si="35"/>
        <v>1</v>
      </c>
      <c r="H124" s="327">
        <f t="shared" si="36"/>
        <v>0</v>
      </c>
      <c r="I124" s="325">
        <f t="shared" si="37"/>
        <v>2155.2976765539497</v>
      </c>
      <c r="J124" s="328">
        <f t="shared" si="38"/>
        <v>1.570332353745254</v>
      </c>
      <c r="K124" s="336">
        <f t="shared" si="39"/>
        <v>1.8231842917057832</v>
      </c>
      <c r="L124" s="337">
        <f t="shared" si="40"/>
        <v>0.9902379605744337</v>
      </c>
      <c r="M124" s="325">
        <f t="shared" si="41"/>
        <v>1.0017494403475098</v>
      </c>
      <c r="N124" s="337">
        <f t="shared" si="42"/>
        <v>5.9108268421623693E-2</v>
      </c>
      <c r="O124" s="343">
        <f t="shared" si="43"/>
        <v>1.0007200440758146</v>
      </c>
      <c r="P124" s="691">
        <f t="shared" si="44"/>
        <v>3.7937113443838315E-2</v>
      </c>
      <c r="Q124" s="336">
        <f t="shared" si="60"/>
        <v>4.1649129031695677</v>
      </c>
      <c r="R124" s="692">
        <f t="shared" si="45"/>
        <v>6.3579697583285785E-2</v>
      </c>
      <c r="S124" s="329">
        <f t="shared" si="46"/>
        <v>0.999677826549215</v>
      </c>
      <c r="T124" s="330">
        <f t="shared" si="47"/>
        <v>3.7816983489787882E-2</v>
      </c>
      <c r="U124" s="331">
        <f t="shared" si="48"/>
        <v>17.590708552331783</v>
      </c>
      <c r="V124" s="332">
        <f t="shared" si="49"/>
        <v>-125.2078174537977</v>
      </c>
      <c r="W124" s="334">
        <f t="shared" si="50"/>
        <v>54.792182546202298</v>
      </c>
      <c r="Y124" s="307">
        <f t="shared" si="51"/>
        <v>1000000000</v>
      </c>
      <c r="Z124" s="307">
        <f t="shared" si="52"/>
        <v>42663104.890000001</v>
      </c>
      <c r="AB124" s="333">
        <f t="shared" si="53"/>
        <v>36.238508423691286</v>
      </c>
      <c r="AC124" s="334">
        <f t="shared" si="54"/>
        <v>-36.62361480462463</v>
      </c>
      <c r="AE124" s="333">
        <f t="shared" si="55"/>
        <v>5.7792664594735763</v>
      </c>
      <c r="AF124" s="334">
        <f t="shared" si="56"/>
        <v>-87.114990800494837</v>
      </c>
      <c r="AH124">
        <f t="shared" si="57"/>
        <v>0</v>
      </c>
      <c r="AI124">
        <f t="shared" si="61"/>
        <v>0</v>
      </c>
    </row>
    <row r="125" spans="1:35" x14ac:dyDescent="0.25">
      <c r="A125" s="335">
        <v>6606.9</v>
      </c>
      <c r="B125" s="352">
        <f t="shared" si="59"/>
        <v>6.6068999999999996</v>
      </c>
      <c r="C125" s="325">
        <f t="shared" si="31"/>
        <v>14.107962580164509</v>
      </c>
      <c r="D125" s="326">
        <f t="shared" si="32"/>
        <v>1.4998548801801088</v>
      </c>
      <c r="E125" s="326">
        <f t="shared" si="33"/>
        <v>1.0001378526935774</v>
      </c>
      <c r="F125" s="327">
        <f t="shared" si="34"/>
        <v>1.6603424905874915E-2</v>
      </c>
      <c r="G125" s="326">
        <f t="shared" si="35"/>
        <v>1</v>
      </c>
      <c r="H125" s="327">
        <f t="shared" si="36"/>
        <v>0</v>
      </c>
      <c r="I125" s="325">
        <f t="shared" si="37"/>
        <v>2180.1117908863057</v>
      </c>
      <c r="J125" s="328">
        <f t="shared" si="38"/>
        <v>1.5703376347043136</v>
      </c>
      <c r="K125" s="336">
        <f t="shared" si="39"/>
        <v>1.837885153985175</v>
      </c>
      <c r="L125" s="337">
        <f t="shared" si="40"/>
        <v>0.99547592818672492</v>
      </c>
      <c r="M125" s="325">
        <f t="shared" si="41"/>
        <v>1.0017899189442308</v>
      </c>
      <c r="N125" s="337">
        <f t="shared" si="42"/>
        <v>5.978717545215486E-2</v>
      </c>
      <c r="O125" s="343">
        <f t="shared" si="43"/>
        <v>1.0007367132339233</v>
      </c>
      <c r="P125" s="691">
        <f t="shared" si="44"/>
        <v>3.8373460344882732E-2</v>
      </c>
      <c r="Q125" s="336">
        <f t="shared" si="60"/>
        <v>4.1651060165014639</v>
      </c>
      <c r="R125" s="692">
        <f t="shared" si="45"/>
        <v>6.4309715034017209E-2</v>
      </c>
      <c r="S125" s="329">
        <f t="shared" si="46"/>
        <v>0.99967037693840377</v>
      </c>
      <c r="T125" s="330">
        <f t="shared" si="47"/>
        <v>3.8252870011070465E-2</v>
      </c>
      <c r="U125" s="331">
        <f t="shared" si="48"/>
        <v>17.461592497976874</v>
      </c>
      <c r="V125" s="332">
        <f t="shared" si="49"/>
        <v>-125.02451683223568</v>
      </c>
      <c r="W125" s="334">
        <f t="shared" si="50"/>
        <v>54.975483167764324</v>
      </c>
      <c r="Y125" s="307">
        <f t="shared" si="51"/>
        <v>1000000000</v>
      </c>
      <c r="Z125" s="307">
        <f t="shared" si="52"/>
        <v>43651127.609999992</v>
      </c>
      <c r="AB125" s="333">
        <f t="shared" si="53"/>
        <v>36.208483377496371</v>
      </c>
      <c r="AC125" s="334">
        <f t="shared" si="54"/>
        <v>-36.36270245111308</v>
      </c>
      <c r="AE125" s="333">
        <f t="shared" si="55"/>
        <v>5.6804334970662085</v>
      </c>
      <c r="AF125" s="334">
        <f t="shared" si="56"/>
        <v>-87.175776449360725</v>
      </c>
      <c r="AH125">
        <f t="shared" si="57"/>
        <v>0</v>
      </c>
      <c r="AI125">
        <f t="shared" si="61"/>
        <v>0</v>
      </c>
    </row>
    <row r="126" spans="1:35" x14ac:dyDescent="0.25">
      <c r="A126" s="335">
        <v>6683.85</v>
      </c>
      <c r="B126" s="352">
        <f t="shared" si="59"/>
        <v>6.6838500000000005</v>
      </c>
      <c r="C126" s="325">
        <f t="shared" si="31"/>
        <v>14.271455987901048</v>
      </c>
      <c r="D126" s="326">
        <f t="shared" si="32"/>
        <v>1.5006689260996677</v>
      </c>
      <c r="E126" s="326">
        <f t="shared" si="33"/>
        <v>1.0001410822826735</v>
      </c>
      <c r="F126" s="327">
        <f t="shared" si="34"/>
        <v>1.6796767416864873E-2</v>
      </c>
      <c r="G126" s="326">
        <f t="shared" si="35"/>
        <v>1</v>
      </c>
      <c r="H126" s="327">
        <f t="shared" si="36"/>
        <v>0</v>
      </c>
      <c r="I126" s="325">
        <f t="shared" si="37"/>
        <v>2205.5033613982746</v>
      </c>
      <c r="J126" s="328">
        <f t="shared" si="38"/>
        <v>1.5703429155456707</v>
      </c>
      <c r="K126" s="336">
        <f t="shared" si="39"/>
        <v>1.8529794839622196</v>
      </c>
      <c r="L126" s="337">
        <f t="shared" si="40"/>
        <v>1.0007496058206367</v>
      </c>
      <c r="M126" s="325">
        <f t="shared" si="41"/>
        <v>1.0018318174730596</v>
      </c>
      <c r="N126" s="337">
        <f t="shared" si="42"/>
        <v>6.0481824395230373E-2</v>
      </c>
      <c r="O126" s="343">
        <f t="shared" si="43"/>
        <v>1.0007539675395563</v>
      </c>
      <c r="P126" s="691">
        <f t="shared" si="44"/>
        <v>3.8819946460561812E-2</v>
      </c>
      <c r="Q126" s="336">
        <f t="shared" si="60"/>
        <v>4.1653059027655832</v>
      </c>
      <c r="R126" s="692">
        <f t="shared" si="45"/>
        <v>6.5056650733226112E-2</v>
      </c>
      <c r="S126" s="329">
        <f t="shared" si="46"/>
        <v>0.99966266623783151</v>
      </c>
      <c r="T126" s="330">
        <f t="shared" si="47"/>
        <v>3.8698917819301203E-2</v>
      </c>
      <c r="U126" s="331">
        <f t="shared" si="48"/>
        <v>17.331443150267305</v>
      </c>
      <c r="V126" s="332">
        <f t="shared" si="49"/>
        <v>-124.84079521929934</v>
      </c>
      <c r="W126" s="334">
        <f t="shared" si="50"/>
        <v>55.159204780700662</v>
      </c>
      <c r="Y126" s="307">
        <f t="shared" si="51"/>
        <v>1000000000</v>
      </c>
      <c r="Z126" s="307">
        <f t="shared" si="52"/>
        <v>44673850.822500005</v>
      </c>
      <c r="AB126" s="333">
        <f t="shared" si="53"/>
        <v>36.178585728463574</v>
      </c>
      <c r="AC126" s="334">
        <f t="shared" si="54"/>
        <v>-36.10064600248144</v>
      </c>
      <c r="AE126" s="333">
        <f t="shared" si="55"/>
        <v>5.5804488727510604</v>
      </c>
      <c r="AF126" s="334">
        <f t="shared" si="56"/>
        <v>-87.236896791943622</v>
      </c>
      <c r="AH126">
        <f t="shared" si="57"/>
        <v>0</v>
      </c>
      <c r="AI126">
        <f t="shared" si="61"/>
        <v>0</v>
      </c>
    </row>
    <row r="127" spans="1:35" x14ac:dyDescent="0.25">
      <c r="A127" s="335">
        <v>6760.8</v>
      </c>
      <c r="B127" s="352">
        <f t="shared" si="59"/>
        <v>6.7608000000000006</v>
      </c>
      <c r="C127" s="325">
        <f t="shared" si="31"/>
        <v>14.434958638680303</v>
      </c>
      <c r="D127" s="326">
        <f t="shared" si="32"/>
        <v>1.5014645313800377</v>
      </c>
      <c r="E127" s="326">
        <f t="shared" si="33"/>
        <v>1.0001443492581279</v>
      </c>
      <c r="F127" s="327">
        <f t="shared" si="34"/>
        <v>1.6990108671973998E-2</v>
      </c>
      <c r="G127" s="326">
        <f t="shared" si="35"/>
        <v>1</v>
      </c>
      <c r="H127" s="327">
        <f t="shared" si="36"/>
        <v>0</v>
      </c>
      <c r="I127" s="325">
        <f t="shared" si="37"/>
        <v>2230.8949319703488</v>
      </c>
      <c r="J127" s="328">
        <f t="shared" si="38"/>
        <v>1.5703480761762065</v>
      </c>
      <c r="K127" s="336">
        <f t="shared" si="39"/>
        <v>1.8681245147852286</v>
      </c>
      <c r="L127" s="337">
        <f t="shared" si="40"/>
        <v>1.0059379175797547</v>
      </c>
      <c r="M127" s="325">
        <f t="shared" si="41"/>
        <v>1.001874199382393</v>
      </c>
      <c r="N127" s="337">
        <f t="shared" si="42"/>
        <v>6.1176414902499532E-2</v>
      </c>
      <c r="O127" s="343">
        <f t="shared" si="43"/>
        <v>1.000771421338442</v>
      </c>
      <c r="P127" s="691">
        <f t="shared" si="44"/>
        <v>3.9266417091498355E-2</v>
      </c>
      <c r="Q127" s="336">
        <f t="shared" si="60"/>
        <v>4.1655080938507485</v>
      </c>
      <c r="R127" s="692">
        <f t="shared" si="45"/>
        <v>6.5803514628718252E-2</v>
      </c>
      <c r="S127" s="329">
        <f t="shared" si="46"/>
        <v>0.99965486681969573</v>
      </c>
      <c r="T127" s="330">
        <f t="shared" si="47"/>
        <v>3.9144983688052845E-2</v>
      </c>
      <c r="U127" s="331">
        <f t="shared" si="48"/>
        <v>17.203232806865032</v>
      </c>
      <c r="V127" s="332">
        <f t="shared" si="49"/>
        <v>-124.66089578412138</v>
      </c>
      <c r="W127" s="334">
        <f t="shared" si="50"/>
        <v>55.339104215878621</v>
      </c>
      <c r="Y127" s="307">
        <f t="shared" si="51"/>
        <v>1000000000</v>
      </c>
      <c r="Z127" s="307">
        <f t="shared" si="52"/>
        <v>45708416.640000001</v>
      </c>
      <c r="AB127" s="333">
        <f t="shared" si="53"/>
        <v>36.149494601744586</v>
      </c>
      <c r="AC127" s="334">
        <f t="shared" si="54"/>
        <v>-35.843470422497724</v>
      </c>
      <c r="AE127" s="333">
        <f t="shared" si="55"/>
        <v>5.4815997875666955</v>
      </c>
      <c r="AF127" s="334">
        <f t="shared" si="56"/>
        <v>-87.296961670476577</v>
      </c>
      <c r="AH127">
        <f t="shared" si="57"/>
        <v>0</v>
      </c>
      <c r="AI127">
        <f t="shared" si="61"/>
        <v>0</v>
      </c>
    </row>
    <row r="128" spans="1:35" x14ac:dyDescent="0.25">
      <c r="A128" s="335">
        <v>6839.55</v>
      </c>
      <c r="B128" s="352">
        <f t="shared" si="59"/>
        <v>6.83955</v>
      </c>
      <c r="C128" s="325">
        <f t="shared" si="31"/>
        <v>14.602295158788145</v>
      </c>
      <c r="D128" s="326">
        <f t="shared" si="32"/>
        <v>1.502260299900444</v>
      </c>
      <c r="E128" s="326">
        <f t="shared" si="33"/>
        <v>1.0001477313620668</v>
      </c>
      <c r="F128" s="327">
        <f t="shared" si="34"/>
        <v>1.7187971214181971E-2</v>
      </c>
      <c r="G128" s="326">
        <f t="shared" si="35"/>
        <v>1</v>
      </c>
      <c r="H128" s="327">
        <f t="shared" si="36"/>
        <v>0</v>
      </c>
      <c r="I128" s="325">
        <f t="shared" si="37"/>
        <v>2256.8804574697201</v>
      </c>
      <c r="J128" s="328">
        <f t="shared" si="38"/>
        <v>1.5703532372952238</v>
      </c>
      <c r="K128" s="336">
        <f t="shared" si="39"/>
        <v>1.8836750329604317</v>
      </c>
      <c r="L128" s="337">
        <f t="shared" si="40"/>
        <v>1.0111610695054829</v>
      </c>
      <c r="M128" s="325">
        <f t="shared" si="41"/>
        <v>1.0019180730908792</v>
      </c>
      <c r="N128" s="337">
        <f t="shared" si="42"/>
        <v>6.1887191947215439E-2</v>
      </c>
      <c r="O128" s="343">
        <f t="shared" si="43"/>
        <v>1.000789489950028</v>
      </c>
      <c r="P128" s="691">
        <f t="shared" si="44"/>
        <v>3.9723315262704437E-2</v>
      </c>
      <c r="Q128" s="336">
        <f t="shared" si="60"/>
        <v>4.1657174005242883</v>
      </c>
      <c r="R128" s="692">
        <f t="shared" si="45"/>
        <v>6.6567773834046301E-2</v>
      </c>
      <c r="S128" s="329">
        <f t="shared" si="46"/>
        <v>0.99964679312479632</v>
      </c>
      <c r="T128" s="330">
        <f t="shared" si="47"/>
        <v>3.9601502762257934E-2</v>
      </c>
      <c r="U128" s="331">
        <f t="shared" si="48"/>
        <v>17.073975235037107</v>
      </c>
      <c r="V128" s="332">
        <f t="shared" si="49"/>
        <v>-124.48067605334741</v>
      </c>
      <c r="W128" s="334">
        <f t="shared" si="50"/>
        <v>55.519323946652591</v>
      </c>
      <c r="Y128" s="307">
        <f t="shared" si="51"/>
        <v>1000000000</v>
      </c>
      <c r="Z128" s="307">
        <f t="shared" si="52"/>
        <v>46779444.202500001</v>
      </c>
      <c r="AB128" s="333">
        <f t="shared" si="53"/>
        <v>36.120528697354999</v>
      </c>
      <c r="AC128" s="334">
        <f t="shared" si="54"/>
        <v>-35.58522609627704</v>
      </c>
      <c r="AE128" s="333">
        <f t="shared" si="55"/>
        <v>5.3815877344649561</v>
      </c>
      <c r="AF128" s="334">
        <f t="shared" si="56"/>
        <v>-87.357375775861186</v>
      </c>
      <c r="AH128">
        <f t="shared" si="57"/>
        <v>0</v>
      </c>
      <c r="AI128">
        <f t="shared" si="61"/>
        <v>0</v>
      </c>
    </row>
    <row r="129" spans="1:35" x14ac:dyDescent="0.25">
      <c r="A129" s="335">
        <v>6918.3</v>
      </c>
      <c r="B129" s="352">
        <f t="shared" si="59"/>
        <v>6.9183000000000003</v>
      </c>
      <c r="C129" s="325">
        <f t="shared" si="31"/>
        <v>14.769640716230453</v>
      </c>
      <c r="D129" s="326">
        <f t="shared" si="32"/>
        <v>1.5030380361937234</v>
      </c>
      <c r="E129" s="326">
        <f t="shared" si="33"/>
        <v>1.0001511526211093</v>
      </c>
      <c r="F129" s="327">
        <f t="shared" si="34"/>
        <v>1.7385832410462671E-2</v>
      </c>
      <c r="G129" s="326">
        <f t="shared" si="35"/>
        <v>1</v>
      </c>
      <c r="H129" s="327">
        <f t="shared" si="36"/>
        <v>0</v>
      </c>
      <c r="I129" s="325">
        <f t="shared" si="37"/>
        <v>2282.8659830278393</v>
      </c>
      <c r="J129" s="328">
        <f t="shared" si="38"/>
        <v>1.5703582809177337</v>
      </c>
      <c r="K129" s="336">
        <f t="shared" si="39"/>
        <v>1.8992760979519474</v>
      </c>
      <c r="L129" s="337">
        <f t="shared" si="40"/>
        <v>1.0162985514776768</v>
      </c>
      <c r="M129" s="325">
        <f t="shared" si="41"/>
        <v>1.0019624529279132</v>
      </c>
      <c r="N129" s="337">
        <f t="shared" si="42"/>
        <v>6.2597906386187341E-2</v>
      </c>
      <c r="O129" s="343">
        <f t="shared" si="43"/>
        <v>1.0008077674747944</v>
      </c>
      <c r="P129" s="691">
        <f t="shared" si="44"/>
        <v>4.0180196840829498E-2</v>
      </c>
      <c r="Q129" s="336">
        <f t="shared" si="60"/>
        <v>4.1659291203926525</v>
      </c>
      <c r="R129" s="692">
        <f t="shared" si="45"/>
        <v>6.7331956115700642E-2</v>
      </c>
      <c r="S129" s="329">
        <f t="shared" si="46"/>
        <v>0.99963862655513347</v>
      </c>
      <c r="T129" s="330">
        <f t="shared" si="47"/>
        <v>4.0058041192440122E-2</v>
      </c>
      <c r="U129" s="331">
        <f t="shared" si="48"/>
        <v>16.946637407028042</v>
      </c>
      <c r="V129" s="332">
        <f t="shared" si="49"/>
        <v>-124.30431908918133</v>
      </c>
      <c r="W129" s="334">
        <f t="shared" si="50"/>
        <v>55.695680910818666</v>
      </c>
      <c r="Y129" s="307">
        <f t="shared" si="51"/>
        <v>1000000000</v>
      </c>
      <c r="Z129" s="307">
        <f t="shared" si="52"/>
        <v>47862874.890000001</v>
      </c>
      <c r="AB129" s="333">
        <f t="shared" si="53"/>
        <v>36.092349175442457</v>
      </c>
      <c r="AC129" s="334">
        <f t="shared" si="54"/>
        <v>-35.331879977731653</v>
      </c>
      <c r="AE129" s="333">
        <f t="shared" si="55"/>
        <v>5.2827122419463901</v>
      </c>
      <c r="AF129" s="334">
        <f t="shared" si="56"/>
        <v>-87.41675789686677</v>
      </c>
      <c r="AH129">
        <f t="shared" si="57"/>
        <v>0</v>
      </c>
      <c r="AI129">
        <f t="shared" si="61"/>
        <v>0</v>
      </c>
    </row>
    <row r="130" spans="1:35" x14ac:dyDescent="0.25">
      <c r="A130" s="335">
        <v>6998.9</v>
      </c>
      <c r="B130" s="352">
        <f t="shared" si="59"/>
        <v>6.9988999999999999</v>
      </c>
      <c r="C130" s="325">
        <f t="shared" si="31"/>
        <v>14.940926607505583</v>
      </c>
      <c r="D130" s="326">
        <f t="shared" si="32"/>
        <v>1.5038160018683953</v>
      </c>
      <c r="E130" s="326">
        <f t="shared" si="33"/>
        <v>1.0001546947978264</v>
      </c>
      <c r="F130" s="327">
        <f t="shared" si="34"/>
        <v>1.7588340364648968E-2</v>
      </c>
      <c r="G130" s="326">
        <f t="shared" si="35"/>
        <v>1</v>
      </c>
      <c r="H130" s="327">
        <f t="shared" si="36"/>
        <v>0</v>
      </c>
      <c r="I130" s="325">
        <f t="shared" si="37"/>
        <v>2309.4619622610098</v>
      </c>
      <c r="J130" s="328">
        <f t="shared" si="38"/>
        <v>1.5703633254952045</v>
      </c>
      <c r="K130" s="336">
        <f t="shared" si="39"/>
        <v>1.9152947169940817</v>
      </c>
      <c r="L130" s="337">
        <f t="shared" si="40"/>
        <v>1.0214699164122703</v>
      </c>
      <c r="M130" s="325">
        <f t="shared" si="41"/>
        <v>1.002008399371922</v>
      </c>
      <c r="N130" s="337">
        <f t="shared" si="42"/>
        <v>6.3325251404186239E-2</v>
      </c>
      <c r="O130" s="343">
        <f t="shared" si="43"/>
        <v>1.0008266906969172</v>
      </c>
      <c r="P130" s="691">
        <f t="shared" si="44"/>
        <v>4.0647794129522206E-2</v>
      </c>
      <c r="Q130" s="336">
        <f t="shared" si="60"/>
        <v>4.1661483125107566</v>
      </c>
      <c r="R130" s="692">
        <f t="shared" si="45"/>
        <v>6.8114010052671814E-2</v>
      </c>
      <c r="S130" s="329">
        <f t="shared" si="46"/>
        <v>0.99963017198526549</v>
      </c>
      <c r="T130" s="330">
        <f t="shared" si="47"/>
        <v>4.0525324928384322E-2</v>
      </c>
      <c r="U130" s="331">
        <f t="shared" si="48"/>
        <v>16.818240758022661</v>
      </c>
      <c r="V130" s="332">
        <f t="shared" si="49"/>
        <v>-124.12774626004807</v>
      </c>
      <c r="W130" s="334">
        <f t="shared" si="50"/>
        <v>55.87225373995193</v>
      </c>
      <c r="Y130" s="307">
        <f t="shared" si="51"/>
        <v>1000000000</v>
      </c>
      <c r="Z130" s="307">
        <f t="shared" si="52"/>
        <v>48984601.209999993</v>
      </c>
      <c r="AB130" s="333">
        <f t="shared" si="53"/>
        <v>36.064293101899466</v>
      </c>
      <c r="AC130" s="334">
        <f t="shared" si="54"/>
        <v>-35.077545425146596</v>
      </c>
      <c r="AE130" s="333">
        <f t="shared" si="55"/>
        <v>5.1826644354042415</v>
      </c>
      <c r="AF130" s="334">
        <f t="shared" si="56"/>
        <v>-87.476502581511795</v>
      </c>
      <c r="AH130">
        <f t="shared" si="57"/>
        <v>0</v>
      </c>
      <c r="AI130">
        <f t="shared" si="61"/>
        <v>0</v>
      </c>
    </row>
    <row r="131" spans="1:35" x14ac:dyDescent="0.25">
      <c r="A131" s="335">
        <v>7079.5</v>
      </c>
      <c r="B131" s="352">
        <f t="shared" si="59"/>
        <v>7.0795000000000003</v>
      </c>
      <c r="C131" s="325">
        <f t="shared" si="31"/>
        <v>15.112221336498592</v>
      </c>
      <c r="D131" s="326">
        <f t="shared" si="32"/>
        <v>1.5045763317495331</v>
      </c>
      <c r="E131" s="326">
        <f t="shared" si="33"/>
        <v>1.0001582779900673</v>
      </c>
      <c r="F131" s="327">
        <f t="shared" si="34"/>
        <v>1.7790846876119707E-2</v>
      </c>
      <c r="G131" s="326">
        <f t="shared" si="35"/>
        <v>1</v>
      </c>
      <c r="H131" s="327">
        <f t="shared" si="36"/>
        <v>0</v>
      </c>
      <c r="I131" s="325">
        <f t="shared" si="37"/>
        <v>2336.0579415516131</v>
      </c>
      <c r="J131" s="328">
        <f t="shared" si="38"/>
        <v>1.5703682552078209</v>
      </c>
      <c r="K131" s="336">
        <f t="shared" si="39"/>
        <v>1.9313637063568623</v>
      </c>
      <c r="L131" s="337">
        <f t="shared" si="40"/>
        <v>1.0265553637255658</v>
      </c>
      <c r="M131" s="325">
        <f t="shared" si="41"/>
        <v>1.0020548758604355</v>
      </c>
      <c r="N131" s="337">
        <f t="shared" si="42"/>
        <v>6.4052529336666206E-2</v>
      </c>
      <c r="O131" s="343">
        <f t="shared" si="43"/>
        <v>1.0008458327387155</v>
      </c>
      <c r="P131" s="691">
        <f t="shared" si="44"/>
        <v>4.1115373634041871E-2</v>
      </c>
      <c r="Q131" s="336">
        <f t="shared" si="60"/>
        <v>4.1663700317530452</v>
      </c>
      <c r="R131" s="692">
        <f t="shared" si="45"/>
        <v>6.8895981566050854E-2</v>
      </c>
      <c r="S131" s="329">
        <f t="shared" si="46"/>
        <v>0.99962162017168121</v>
      </c>
      <c r="T131" s="330">
        <f t="shared" si="47"/>
        <v>4.0992629412815521E-2</v>
      </c>
      <c r="U131" s="331">
        <f t="shared" si="48"/>
        <v>16.691744899143941</v>
      </c>
      <c r="V131" s="332">
        <f t="shared" si="49"/>
        <v>-123.95507283437547</v>
      </c>
      <c r="W131" s="334">
        <f t="shared" si="50"/>
        <v>56.044927165624529</v>
      </c>
      <c r="Y131" s="307">
        <f t="shared" si="51"/>
        <v>1000000000</v>
      </c>
      <c r="Z131" s="307">
        <f t="shared" si="52"/>
        <v>50119320.25</v>
      </c>
      <c r="AB131" s="333">
        <f t="shared" si="53"/>
        <v>36.037003400138481</v>
      </c>
      <c r="AC131" s="334">
        <f t="shared" si="54"/>
        <v>-34.828123164664852</v>
      </c>
      <c r="AE131" s="333">
        <f t="shared" si="55"/>
        <v>5.0837543956850082</v>
      </c>
      <c r="AF131" s="334">
        <f t="shared" si="56"/>
        <v>-87.535238081080053</v>
      </c>
      <c r="AH131">
        <f t="shared" si="57"/>
        <v>0</v>
      </c>
      <c r="AI131">
        <f t="shared" si="61"/>
        <v>0</v>
      </c>
    </row>
    <row r="132" spans="1:35" x14ac:dyDescent="0.25">
      <c r="A132" s="335">
        <v>7161.95</v>
      </c>
      <c r="B132" s="352">
        <f t="shared" si="59"/>
        <v>7.16195</v>
      </c>
      <c r="C132" s="325">
        <f t="shared" si="31"/>
        <v>15.287456602914371</v>
      </c>
      <c r="D132" s="326">
        <f t="shared" si="32"/>
        <v>1.5053364829261544</v>
      </c>
      <c r="E132" s="326">
        <f t="shared" si="33"/>
        <v>1.0001619858647985</v>
      </c>
      <c r="F132" s="327">
        <f t="shared" si="34"/>
        <v>1.7997999979833056E-2</v>
      </c>
      <c r="G132" s="326">
        <f t="shared" si="35"/>
        <v>1</v>
      </c>
      <c r="H132" s="327">
        <f t="shared" si="36"/>
        <v>0</v>
      </c>
      <c r="I132" s="325">
        <f t="shared" si="37"/>
        <v>2363.2643745185724</v>
      </c>
      <c r="J132" s="328">
        <f t="shared" si="38"/>
        <v>1.5703731832648609</v>
      </c>
      <c r="K132" s="336">
        <f t="shared" si="39"/>
        <v>1.9478523429393291</v>
      </c>
      <c r="L132" s="337">
        <f t="shared" si="40"/>
        <v>1.0316705844452665</v>
      </c>
      <c r="M132" s="325">
        <f t="shared" si="41"/>
        <v>1.0021029674732678</v>
      </c>
      <c r="N132" s="337">
        <f t="shared" si="42"/>
        <v>6.4796430167804855E-2</v>
      </c>
      <c r="O132" s="343">
        <f t="shared" si="43"/>
        <v>1.0008656405430258</v>
      </c>
      <c r="P132" s="691">
        <f t="shared" si="44"/>
        <v>4.159366680922455E-2</v>
      </c>
      <c r="Q132" s="336">
        <f t="shared" si="60"/>
        <v>4.1665994544609575</v>
      </c>
      <c r="R132" s="692">
        <f t="shared" si="45"/>
        <v>6.9695815302868253E-2</v>
      </c>
      <c r="S132" s="329">
        <f t="shared" si="46"/>
        <v>0.99961277147685956</v>
      </c>
      <c r="T132" s="330">
        <f t="shared" si="47"/>
        <v>4.1470681586096958E-2</v>
      </c>
      <c r="U132" s="331">
        <f t="shared" si="48"/>
        <v>16.564257496546272</v>
      </c>
      <c r="V132" s="332">
        <f t="shared" si="49"/>
        <v>-123.78239475522803</v>
      </c>
      <c r="W132" s="334">
        <f t="shared" si="50"/>
        <v>56.217605244771974</v>
      </c>
      <c r="Y132" s="307">
        <f t="shared" si="51"/>
        <v>1000000000</v>
      </c>
      <c r="Z132" s="307">
        <f t="shared" si="52"/>
        <v>51293527.802499995</v>
      </c>
      <c r="AB132" s="333">
        <f t="shared" si="53"/>
        <v>36.009851915085932</v>
      </c>
      <c r="AC132" s="334">
        <f t="shared" si="54"/>
        <v>-34.577947340732365</v>
      </c>
      <c r="AE132" s="333">
        <f t="shared" si="55"/>
        <v>4.9837248553995925</v>
      </c>
      <c r="AF132" s="334">
        <f t="shared" si="56"/>
        <v>-87.594312908720127</v>
      </c>
      <c r="AH132">
        <f t="shared" si="57"/>
        <v>0</v>
      </c>
      <c r="AI132">
        <f t="shared" si="61"/>
        <v>0</v>
      </c>
    </row>
    <row r="133" spans="1:35" x14ac:dyDescent="0.25">
      <c r="A133" s="335">
        <v>7244.4</v>
      </c>
      <c r="B133" s="352">
        <f t="shared" si="59"/>
        <v>7.2443999999999997</v>
      </c>
      <c r="C133" s="325">
        <f t="shared" si="31"/>
        <v>15.462700502658194</v>
      </c>
      <c r="D133" s="326">
        <f t="shared" si="32"/>
        <v>1.5060794044345123</v>
      </c>
      <c r="E133" s="326">
        <f t="shared" si="33"/>
        <v>1.0001657366585703</v>
      </c>
      <c r="F133" s="327">
        <f t="shared" si="34"/>
        <v>1.8205151538716085E-2</v>
      </c>
      <c r="G133" s="326">
        <f t="shared" si="35"/>
        <v>1</v>
      </c>
      <c r="H133" s="327">
        <f t="shared" si="36"/>
        <v>0</v>
      </c>
      <c r="I133" s="325">
        <f t="shared" si="37"/>
        <v>2390.4708075416188</v>
      </c>
      <c r="J133" s="328">
        <f t="shared" si="38"/>
        <v>1.5703779991474678</v>
      </c>
      <c r="K133" s="336">
        <f t="shared" si="39"/>
        <v>1.964391089647368</v>
      </c>
      <c r="L133" s="337">
        <f t="shared" si="40"/>
        <v>1.0366998020300704</v>
      </c>
      <c r="M133" s="325">
        <f t="shared" si="41"/>
        <v>1.0021516135849016</v>
      </c>
      <c r="N133" s="337">
        <f t="shared" si="42"/>
        <v>6.5540259190161335E-2</v>
      </c>
      <c r="O133" s="343">
        <f t="shared" si="43"/>
        <v>1.0008856773006323</v>
      </c>
      <c r="P133" s="691">
        <f t="shared" si="44"/>
        <v>4.2071940943887498E-2</v>
      </c>
      <c r="Q133" s="336">
        <f t="shared" si="60"/>
        <v>4.1668315207749886</v>
      </c>
      <c r="R133" s="692">
        <f t="shared" si="45"/>
        <v>7.0495560817836353E-2</v>
      </c>
      <c r="S133" s="329">
        <f t="shared" si="46"/>
        <v>0.99960382107339096</v>
      </c>
      <c r="T133" s="330">
        <f t="shared" si="47"/>
        <v>4.1948755977087554E-2</v>
      </c>
      <c r="U133" s="331">
        <f t="shared" si="48"/>
        <v>16.438649932101839</v>
      </c>
      <c r="V133" s="332">
        <f t="shared" si="49"/>
        <v>-123.61364396169897</v>
      </c>
      <c r="W133" s="334">
        <f t="shared" si="50"/>
        <v>56.386356038301031</v>
      </c>
      <c r="Y133" s="307">
        <f t="shared" si="51"/>
        <v>1000000000</v>
      </c>
      <c r="Z133" s="307">
        <f t="shared" si="52"/>
        <v>52481331.359999992</v>
      </c>
      <c r="AB133" s="333">
        <f t="shared" si="53"/>
        <v>35.983446020646895</v>
      </c>
      <c r="AC133" s="334">
        <f t="shared" si="54"/>
        <v>-34.332688591998249</v>
      </c>
      <c r="AE133" s="333">
        <f t="shared" si="55"/>
        <v>4.88483306349874</v>
      </c>
      <c r="AF133" s="334">
        <f t="shared" si="56"/>
        <v>-87.652401910578391</v>
      </c>
      <c r="AH133">
        <f t="shared" si="57"/>
        <v>0</v>
      </c>
      <c r="AI133">
        <f t="shared" si="61"/>
        <v>0</v>
      </c>
    </row>
    <row r="134" spans="1:35" x14ac:dyDescent="0.25">
      <c r="A134" s="335">
        <v>7328.75</v>
      </c>
      <c r="B134" s="352">
        <f t="shared" si="59"/>
        <v>7.3287500000000003</v>
      </c>
      <c r="C134" s="325">
        <f t="shared" si="31"/>
        <v>15.641991401473991</v>
      </c>
      <c r="D134" s="326">
        <f t="shared" si="32"/>
        <v>1.506822219243058</v>
      </c>
      <c r="E134" s="326">
        <f t="shared" si="33"/>
        <v>1.000169618300133</v>
      </c>
      <c r="F134" s="327">
        <f t="shared" si="34"/>
        <v>1.8417075136737873E-2</v>
      </c>
      <c r="G134" s="326">
        <f t="shared" si="35"/>
        <v>1</v>
      </c>
      <c r="H134" s="327">
        <f t="shared" si="36"/>
        <v>0</v>
      </c>
      <c r="I134" s="325">
        <f t="shared" si="37"/>
        <v>2418.3041929887586</v>
      </c>
      <c r="J134" s="328">
        <f t="shared" si="38"/>
        <v>1.5703828138748106</v>
      </c>
      <c r="K134" s="336">
        <f t="shared" si="39"/>
        <v>1.9813615067079193</v>
      </c>
      <c r="L134" s="337">
        <f t="shared" si="40"/>
        <v>1.0417578993851186</v>
      </c>
      <c r="M134" s="325">
        <f t="shared" si="41"/>
        <v>1.002201954439486</v>
      </c>
      <c r="N134" s="337">
        <f t="shared" si="42"/>
        <v>6.6301154051431291E-2</v>
      </c>
      <c r="O134" s="343">
        <f t="shared" si="43"/>
        <v>1.0009064127045164</v>
      </c>
      <c r="P134" s="691">
        <f t="shared" si="44"/>
        <v>4.2561216625781419E-2</v>
      </c>
      <c r="Q134" s="336">
        <f t="shared" si="60"/>
        <v>4.1670716701150816</v>
      </c>
      <c r="R134" s="692">
        <f t="shared" si="45"/>
        <v>7.1313643550652894E-2</v>
      </c>
      <c r="S134" s="329">
        <f t="shared" si="46"/>
        <v>0.9995945591900689</v>
      </c>
      <c r="T134" s="330">
        <f t="shared" si="47"/>
        <v>4.2437870501382903E-2</v>
      </c>
      <c r="U134" s="331">
        <f t="shared" si="48"/>
        <v>16.312038831105891</v>
      </c>
      <c r="V134" s="332">
        <f t="shared" si="49"/>
        <v>-123.44498953843222</v>
      </c>
      <c r="W134" s="334">
        <f t="shared" si="50"/>
        <v>56.555010461567775</v>
      </c>
      <c r="Y134" s="307">
        <f t="shared" si="51"/>
        <v>1000000000</v>
      </c>
      <c r="Z134" s="307">
        <f t="shared" si="52"/>
        <v>53710576.5625</v>
      </c>
      <c r="AB134" s="333">
        <f t="shared" si="53"/>
        <v>35.957175344134335</v>
      </c>
      <c r="AC134" s="334">
        <f t="shared" si="54"/>
        <v>-34.086752888666894</v>
      </c>
      <c r="AE134" s="333">
        <f t="shared" si="55"/>
        <v>4.7848132791519449</v>
      </c>
      <c r="AF134" s="334">
        <f t="shared" si="56"/>
        <v>-87.710843934329461</v>
      </c>
      <c r="AH134">
        <f t="shared" si="57"/>
        <v>0</v>
      </c>
      <c r="AI134">
        <f t="shared" si="61"/>
        <v>0</v>
      </c>
    </row>
    <row r="135" spans="1:35" x14ac:dyDescent="0.25">
      <c r="A135" s="335">
        <v>7413.1</v>
      </c>
      <c r="B135" s="352">
        <f t="shared" si="59"/>
        <v>7.4131</v>
      </c>
      <c r="C135" s="325">
        <f t="shared" si="31"/>
        <v>15.821290735514911</v>
      </c>
      <c r="D135" s="326">
        <f t="shared" si="32"/>
        <v>1.5075481981191281</v>
      </c>
      <c r="E135" s="326">
        <f t="shared" si="33"/>
        <v>1.0001735448605749</v>
      </c>
      <c r="F135" s="327">
        <f t="shared" si="34"/>
        <v>1.862899708030449E-2</v>
      </c>
      <c r="G135" s="326">
        <f t="shared" si="35"/>
        <v>1</v>
      </c>
      <c r="H135" s="327">
        <f t="shared" si="36"/>
        <v>0</v>
      </c>
      <c r="I135" s="325">
        <f t="shared" si="37"/>
        <v>2446.1375784906832</v>
      </c>
      <c r="J135" s="328">
        <f t="shared" si="38"/>
        <v>1.570387519033368</v>
      </c>
      <c r="K135" s="336">
        <f t="shared" si="39"/>
        <v>1.998381753905119</v>
      </c>
      <c r="L135" s="337">
        <f t="shared" si="40"/>
        <v>1.0467299623687647</v>
      </c>
      <c r="M135" s="325">
        <f t="shared" si="41"/>
        <v>1.0022528754714224</v>
      </c>
      <c r="N135" s="337">
        <f t="shared" si="42"/>
        <v>6.7061972036230405E-2</v>
      </c>
      <c r="O135" s="343">
        <f t="shared" si="43"/>
        <v>1.0009273877061191</v>
      </c>
      <c r="P135" s="691">
        <f t="shared" si="44"/>
        <v>4.3050471918695099E-2</v>
      </c>
      <c r="Q135" s="336">
        <f t="shared" si="60"/>
        <v>4.1673145853646174</v>
      </c>
      <c r="R135" s="692">
        <f t="shared" si="45"/>
        <v>7.2131631841126032E-2</v>
      </c>
      <c r="S135" s="329">
        <f t="shared" si="46"/>
        <v>0.99958519091164688</v>
      </c>
      <c r="T135" s="330">
        <f t="shared" si="47"/>
        <v>4.2927008820741429E-2</v>
      </c>
      <c r="U135" s="331">
        <f t="shared" si="48"/>
        <v>16.187287029248193</v>
      </c>
      <c r="V135" s="332">
        <f t="shared" si="49"/>
        <v>-123.28028642634793</v>
      </c>
      <c r="W135" s="334">
        <f t="shared" si="50"/>
        <v>56.719713573652072</v>
      </c>
      <c r="Y135" s="307">
        <f t="shared" si="51"/>
        <v>1000000000</v>
      </c>
      <c r="Z135" s="307">
        <f t="shared" si="52"/>
        <v>54954051.610000007</v>
      </c>
      <c r="AB135" s="333">
        <f t="shared" si="53"/>
        <v>35.931629707703195</v>
      </c>
      <c r="AC135" s="334">
        <f t="shared" si="54"/>
        <v>-33.845735909189266</v>
      </c>
      <c r="AE135" s="333">
        <f t="shared" si="55"/>
        <v>4.6859314145081141</v>
      </c>
      <c r="AF135" s="334">
        <f t="shared" si="56"/>
        <v>-87.768322788354396</v>
      </c>
      <c r="AH135">
        <f t="shared" si="57"/>
        <v>0</v>
      </c>
      <c r="AI135">
        <f t="shared" si="61"/>
        <v>0</v>
      </c>
    </row>
    <row r="136" spans="1:35" x14ac:dyDescent="0.25">
      <c r="A136" s="335">
        <v>7499.45</v>
      </c>
      <c r="B136" s="352">
        <f t="shared" si="59"/>
        <v>7.4994499999999995</v>
      </c>
      <c r="C136" s="325">
        <f t="shared" si="31"/>
        <v>16.004849829119973</v>
      </c>
      <c r="D136" s="326">
        <f t="shared" si="32"/>
        <v>1.5082745409902492</v>
      </c>
      <c r="E136" s="326">
        <f t="shared" si="33"/>
        <v>1.0001776110511706</v>
      </c>
      <c r="F136" s="327">
        <f t="shared" si="34"/>
        <v>1.8845942114050721E-2</v>
      </c>
      <c r="G136" s="326">
        <f t="shared" si="35"/>
        <v>1</v>
      </c>
      <c r="H136" s="327">
        <f t="shared" si="36"/>
        <v>0</v>
      </c>
      <c r="I136" s="325">
        <f t="shared" si="37"/>
        <v>2474.6309139111345</v>
      </c>
      <c r="J136" s="328">
        <f t="shared" si="38"/>
        <v>1.5703922261180665</v>
      </c>
      <c r="K136" s="336">
        <f t="shared" si="39"/>
        <v>2.0158558622034728</v>
      </c>
      <c r="L136" s="337">
        <f t="shared" si="40"/>
        <v>1.0517328199996416</v>
      </c>
      <c r="M136" s="325">
        <f t="shared" si="41"/>
        <v>1.0023056047609085</v>
      </c>
      <c r="N136" s="337">
        <f t="shared" si="42"/>
        <v>6.7840749030620942E-2</v>
      </c>
      <c r="O136" s="343">
        <f t="shared" si="43"/>
        <v>1.0009491082112008</v>
      </c>
      <c r="P136" s="691">
        <f t="shared" si="44"/>
        <v>4.355130644825983E-2</v>
      </c>
      <c r="Q136" s="336">
        <f t="shared" si="60"/>
        <v>4.1675661248664131</v>
      </c>
      <c r="R136" s="692">
        <f t="shared" si="45"/>
        <v>7.2968916290940974E-2</v>
      </c>
      <c r="S136" s="329">
        <f t="shared" si="46"/>
        <v>0.99957549032507864</v>
      </c>
      <c r="T136" s="330">
        <f t="shared" si="47"/>
        <v>4.3427769900265541E-2</v>
      </c>
      <c r="U136" s="331">
        <f t="shared" si="48"/>
        <v>16.061449363887707</v>
      </c>
      <c r="V136" s="332">
        <f t="shared" si="49"/>
        <v>-123.11568913247689</v>
      </c>
      <c r="W136" s="334">
        <f t="shared" si="50"/>
        <v>56.884310867523112</v>
      </c>
      <c r="Y136" s="307">
        <f t="shared" si="51"/>
        <v>1000000000</v>
      </c>
      <c r="Z136" s="307">
        <f t="shared" si="52"/>
        <v>56241750.302499995</v>
      </c>
      <c r="AB136" s="333">
        <f t="shared" si="53"/>
        <v>35.906202062379997</v>
      </c>
      <c r="AC136" s="334">
        <f t="shared" si="54"/>
        <v>-33.603983612206456</v>
      </c>
      <c r="AE136" s="333">
        <f t="shared" si="55"/>
        <v>4.5858571747029009</v>
      </c>
      <c r="AF136" s="334">
        <f t="shared" si="56"/>
        <v>-87.826200630996354</v>
      </c>
      <c r="AH136">
        <f t="shared" si="57"/>
        <v>0</v>
      </c>
      <c r="AI136">
        <f t="shared" si="61"/>
        <v>0</v>
      </c>
    </row>
    <row r="137" spans="1:35" x14ac:dyDescent="0.25">
      <c r="A137" s="335">
        <v>7585.8</v>
      </c>
      <c r="B137" s="352">
        <f t="shared" si="59"/>
        <v>7.5857999999999999</v>
      </c>
      <c r="C137" s="325">
        <f t="shared" si="31"/>
        <v>16.188417174978831</v>
      </c>
      <c r="D137" s="326">
        <f t="shared" si="32"/>
        <v>1.5089844116075029</v>
      </c>
      <c r="E137" s="326">
        <f t="shared" si="33"/>
        <v>1.0001817243148894</v>
      </c>
      <c r="F137" s="327">
        <f t="shared" si="34"/>
        <v>1.9062885373627343E-2</v>
      </c>
      <c r="G137" s="326">
        <f t="shared" si="35"/>
        <v>1</v>
      </c>
      <c r="H137" s="327">
        <f t="shared" si="36"/>
        <v>0</v>
      </c>
      <c r="I137" s="325">
        <f t="shared" si="37"/>
        <v>2503.1242493851678</v>
      </c>
      <c r="J137" s="328">
        <f t="shared" si="38"/>
        <v>1.5703968260402514</v>
      </c>
      <c r="K137" s="336">
        <f t="shared" si="39"/>
        <v>2.0333795566251953</v>
      </c>
      <c r="L137" s="337">
        <f t="shared" si="40"/>
        <v>1.0566495695317664</v>
      </c>
      <c r="M137" s="325">
        <f t="shared" si="41"/>
        <v>1.0023589418781642</v>
      </c>
      <c r="N137" s="337">
        <f t="shared" si="42"/>
        <v>6.8619443617312301E-2</v>
      </c>
      <c r="O137" s="343">
        <f t="shared" si="43"/>
        <v>1.0009710797786449</v>
      </c>
      <c r="P137" s="691">
        <f t="shared" si="44"/>
        <v>4.4052119116553184E-2</v>
      </c>
      <c r="Q137" s="336">
        <f t="shared" si="60"/>
        <v>4.167820561964561</v>
      </c>
      <c r="R137" s="692">
        <f t="shared" si="45"/>
        <v>7.3806099509495515E-2</v>
      </c>
      <c r="S137" s="329">
        <f t="shared" si="46"/>
        <v>0.99956567829872756</v>
      </c>
      <c r="T137" s="330">
        <f t="shared" si="47"/>
        <v>4.3928556497457694E-2</v>
      </c>
      <c r="U137" s="331">
        <f t="shared" si="48"/>
        <v>15.937452919679929</v>
      </c>
      <c r="V137" s="332">
        <f t="shared" si="49"/>
        <v>-122.95506783319381</v>
      </c>
      <c r="W137" s="334">
        <f t="shared" si="50"/>
        <v>57.044932166806191</v>
      </c>
      <c r="Y137" s="307">
        <f t="shared" si="51"/>
        <v>1000000000</v>
      </c>
      <c r="Z137" s="307">
        <f t="shared" si="52"/>
        <v>57544361.640000001</v>
      </c>
      <c r="AB137" s="333">
        <f t="shared" si="53"/>
        <v>35.881479927895526</v>
      </c>
      <c r="AC137" s="334">
        <f t="shared" si="54"/>
        <v>-33.367154084296544</v>
      </c>
      <c r="AE137" s="333">
        <f t="shared" si="55"/>
        <v>4.4869224777734971</v>
      </c>
      <c r="AF137" s="334">
        <f t="shared" si="56"/>
        <v>-87.883136246718649</v>
      </c>
      <c r="AH137">
        <f t="shared" si="57"/>
        <v>0</v>
      </c>
      <c r="AI137">
        <f t="shared" si="61"/>
        <v>0</v>
      </c>
    </row>
    <row r="138" spans="1:35" x14ac:dyDescent="0.25">
      <c r="A138" s="335">
        <v>7674.15</v>
      </c>
      <c r="B138" s="352">
        <f t="shared" si="59"/>
        <v>7.67415</v>
      </c>
      <c r="C138" s="325">
        <f t="shared" si="31"/>
        <v>16.376244477160842</v>
      </c>
      <c r="D138" s="326">
        <f t="shared" si="32"/>
        <v>1.5096942519902767</v>
      </c>
      <c r="E138" s="326">
        <f t="shared" si="33"/>
        <v>1.0001859815687522</v>
      </c>
      <c r="F138" s="327">
        <f t="shared" si="34"/>
        <v>1.9284851518193483E-2</v>
      </c>
      <c r="G138" s="326">
        <f t="shared" si="35"/>
        <v>1</v>
      </c>
      <c r="H138" s="327">
        <f t="shared" si="36"/>
        <v>0</v>
      </c>
      <c r="I138" s="325">
        <f t="shared" si="37"/>
        <v>2532.2775347789907</v>
      </c>
      <c r="J138" s="328">
        <f t="shared" si="38"/>
        <v>1.570401425362389</v>
      </c>
      <c r="K138" s="336">
        <f t="shared" si="39"/>
        <v>2.0513591237331985</v>
      </c>
      <c r="L138" s="337">
        <f t="shared" si="40"/>
        <v>1.0615931327789261</v>
      </c>
      <c r="M138" s="325">
        <f t="shared" si="41"/>
        <v>1.00241414337278</v>
      </c>
      <c r="N138" s="337">
        <f t="shared" si="42"/>
        <v>6.9416087715037961E-2</v>
      </c>
      <c r="O138" s="343">
        <f t="shared" si="43"/>
        <v>1.0009938200766386</v>
      </c>
      <c r="P138" s="691">
        <f t="shared" si="44"/>
        <v>4.4564508496257385E-2</v>
      </c>
      <c r="Q138" s="336">
        <f t="shared" si="60"/>
        <v>4.1680838907100926</v>
      </c>
      <c r="R138" s="692">
        <f t="shared" si="45"/>
        <v>7.4662567225494705E-2</v>
      </c>
      <c r="S138" s="329">
        <f t="shared" si="46"/>
        <v>0.9995555237017687</v>
      </c>
      <c r="T138" s="330">
        <f t="shared" si="47"/>
        <v>4.4440968806881725E-2</v>
      </c>
      <c r="U138" s="331">
        <f t="shared" si="48"/>
        <v>15.812436840515872</v>
      </c>
      <c r="V138" s="332">
        <f t="shared" si="49"/>
        <v>-122.79475682348772</v>
      </c>
      <c r="W138" s="334">
        <f t="shared" si="50"/>
        <v>57.205243176512283</v>
      </c>
      <c r="Y138" s="307">
        <f t="shared" si="51"/>
        <v>1000000000</v>
      </c>
      <c r="Z138" s="307">
        <f t="shared" si="52"/>
        <v>58892578.222499996</v>
      </c>
      <c r="AB138" s="333">
        <f t="shared" si="53"/>
        <v>35.856888591827776</v>
      </c>
      <c r="AC138" s="334">
        <f t="shared" si="54"/>
        <v>-33.129816640527906</v>
      </c>
      <c r="AE138" s="333">
        <f t="shared" si="55"/>
        <v>4.386849178168581</v>
      </c>
      <c r="AF138" s="334">
        <f t="shared" si="56"/>
        <v>-87.940448444267162</v>
      </c>
      <c r="AH138">
        <f t="shared" si="57"/>
        <v>0</v>
      </c>
      <c r="AI138">
        <f t="shared" si="61"/>
        <v>0</v>
      </c>
    </row>
    <row r="139" spans="1:35" x14ac:dyDescent="0.25">
      <c r="A139" s="335">
        <v>7762.5</v>
      </c>
      <c r="B139" s="352">
        <f t="shared" si="59"/>
        <v>7.7625000000000002</v>
      </c>
      <c r="C139" s="325">
        <f t="shared" si="31"/>
        <v>16.564079843758037</v>
      </c>
      <c r="D139" s="326">
        <f t="shared" si="32"/>
        <v>1.5103879936474713</v>
      </c>
      <c r="E139" s="326">
        <f t="shared" si="33"/>
        <v>1.0001902881003266</v>
      </c>
      <c r="F139" s="327">
        <f t="shared" si="34"/>
        <v>1.9506815762250808E-2</v>
      </c>
      <c r="G139" s="326">
        <f t="shared" si="35"/>
        <v>1</v>
      </c>
      <c r="H139" s="327">
        <f t="shared" si="36"/>
        <v>0</v>
      </c>
      <c r="I139" s="325">
        <f t="shared" si="37"/>
        <v>2561.4308202251618</v>
      </c>
      <c r="J139" s="328">
        <f t="shared" si="38"/>
        <v>1.570405919988862</v>
      </c>
      <c r="K139" s="336">
        <f t="shared" si="39"/>
        <v>2.0693879517827289</v>
      </c>
      <c r="L139" s="337">
        <f t="shared" si="40"/>
        <v>1.0664506748471005</v>
      </c>
      <c r="M139" s="325">
        <f t="shared" si="41"/>
        <v>1.0024699809710327</v>
      </c>
      <c r="N139" s="337">
        <f t="shared" si="42"/>
        <v>7.0212643572059821E-2</v>
      </c>
      <c r="O139" s="343">
        <f t="shared" si="43"/>
        <v>1.0010168231664485</v>
      </c>
      <c r="P139" s="691">
        <f t="shared" si="44"/>
        <v>4.5076874461341961E-2</v>
      </c>
      <c r="Q139" s="336">
        <f t="shared" si="60"/>
        <v>4.1683502517018285</v>
      </c>
      <c r="R139" s="692">
        <f t="shared" si="45"/>
        <v>7.5518926551767673E-2</v>
      </c>
      <c r="S139" s="329">
        <f t="shared" si="46"/>
        <v>0.9995452525093903</v>
      </c>
      <c r="T139" s="330">
        <f t="shared" si="47"/>
        <v>4.4953408452016813E-2</v>
      </c>
      <c r="U139" s="331">
        <f t="shared" si="48"/>
        <v>15.689241987792052</v>
      </c>
      <c r="V139" s="332">
        <f t="shared" si="49"/>
        <v>-122.63843782721707</v>
      </c>
      <c r="W139" s="334">
        <f t="shared" si="50"/>
        <v>57.361562172782925</v>
      </c>
      <c r="Y139" s="307">
        <f t="shared" si="51"/>
        <v>1000000000</v>
      </c>
      <c r="Z139" s="307">
        <f t="shared" si="52"/>
        <v>60256406.25</v>
      </c>
      <c r="AB139" s="333">
        <f t="shared" si="53"/>
        <v>35.832982578632468</v>
      </c>
      <c r="AC139" s="334">
        <f t="shared" si="54"/>
        <v>-32.897396792829845</v>
      </c>
      <c r="AE139" s="333">
        <f t="shared" si="55"/>
        <v>4.2879157901937361</v>
      </c>
      <c r="AF139" s="334">
        <f t="shared" si="56"/>
        <v>-87.996839927895394</v>
      </c>
      <c r="AH139">
        <f t="shared" si="57"/>
        <v>0</v>
      </c>
      <c r="AI139">
        <f t="shared" si="61"/>
        <v>0</v>
      </c>
    </row>
    <row r="140" spans="1:35" x14ac:dyDescent="0.25">
      <c r="A140" s="335">
        <v>7852.9</v>
      </c>
      <c r="B140" s="352">
        <f t="shared" si="59"/>
        <v>7.8529</v>
      </c>
      <c r="C140" s="325">
        <f t="shared" si="31"/>
        <v>16.75628165053072</v>
      </c>
      <c r="D140" s="326">
        <f t="shared" si="32"/>
        <v>1.5110817329695294</v>
      </c>
      <c r="E140" s="326">
        <f t="shared" si="33"/>
        <v>1.0001947455624931</v>
      </c>
      <c r="F140" s="327">
        <f t="shared" si="34"/>
        <v>1.9733928290267155E-2</v>
      </c>
      <c r="G140" s="326">
        <f t="shared" si="35"/>
        <v>1</v>
      </c>
      <c r="H140" s="327">
        <f t="shared" si="36"/>
        <v>0</v>
      </c>
      <c r="I140" s="325">
        <f t="shared" si="37"/>
        <v>2591.2605543390064</v>
      </c>
      <c r="J140" s="328">
        <f t="shared" si="38"/>
        <v>1.5704104142230608</v>
      </c>
      <c r="K140" s="336">
        <f t="shared" si="39"/>
        <v>2.0878847634021498</v>
      </c>
      <c r="L140" s="337">
        <f t="shared" si="40"/>
        <v>1.071333977456802</v>
      </c>
      <c r="M140" s="325">
        <f t="shared" si="41"/>
        <v>1.0025277724819552</v>
      </c>
      <c r="N140" s="337">
        <f t="shared" si="42"/>
        <v>7.1027589674861252E-2</v>
      </c>
      <c r="O140" s="343">
        <f t="shared" si="43"/>
        <v>1.0010406319909084</v>
      </c>
      <c r="P140" s="691">
        <f t="shared" si="44"/>
        <v>4.5601104425844301E-2</v>
      </c>
      <c r="Q140" s="336">
        <f t="shared" si="60"/>
        <v>4.1686259311054865</v>
      </c>
      <c r="R140" s="692">
        <f t="shared" si="45"/>
        <v>7.6395042664634344E-2</v>
      </c>
      <c r="S140" s="329">
        <f t="shared" si="46"/>
        <v>0.99953462234354518</v>
      </c>
      <c r="T140" s="330">
        <f t="shared" si="47"/>
        <v>4.5477766943699649E-2</v>
      </c>
      <c r="U140" s="331">
        <f t="shared" si="48"/>
        <v>15.565020890634852</v>
      </c>
      <c r="V140" s="332">
        <f t="shared" si="49"/>
        <v>-122.48253653589272</v>
      </c>
      <c r="W140" s="334">
        <f t="shared" si="50"/>
        <v>57.51746346410728</v>
      </c>
      <c r="Y140" s="307">
        <f t="shared" si="51"/>
        <v>1000000000</v>
      </c>
      <c r="Z140" s="307">
        <f t="shared" si="52"/>
        <v>61668038.409999996</v>
      </c>
      <c r="AB140" s="333">
        <f t="shared" si="53"/>
        <v>35.809204970417554</v>
      </c>
      <c r="AC140" s="334">
        <f t="shared" si="54"/>
        <v>-32.66455463581557</v>
      </c>
      <c r="AE140" s="333">
        <f t="shared" si="55"/>
        <v>4.1878401468540698</v>
      </c>
      <c r="AF140" s="334">
        <f t="shared" si="56"/>
        <v>-88.053619202391857</v>
      </c>
      <c r="AH140">
        <f t="shared" si="57"/>
        <v>0</v>
      </c>
      <c r="AI140">
        <f t="shared" si="61"/>
        <v>0</v>
      </c>
    </row>
    <row r="141" spans="1:35" x14ac:dyDescent="0.25">
      <c r="A141" s="335">
        <v>7943.3</v>
      </c>
      <c r="B141" s="352">
        <f t="shared" si="59"/>
        <v>7.9432999999999998</v>
      </c>
      <c r="C141" s="325">
        <f t="shared" ref="C141:C204" si="62">SQRT(1+(A141/pole1)^2)</f>
        <v>16.948491338762537</v>
      </c>
      <c r="D141" s="326">
        <f t="shared" ref="D141:D204" si="63">ATAN(A141/pole1)</f>
        <v>1.5117597374744913</v>
      </c>
      <c r="E141" s="326">
        <f t="shared" ref="E141:E204" si="64">SQRT(1+(A141/Zero1)^2)</f>
        <v>1.0001992546143439</v>
      </c>
      <c r="F141" s="327">
        <f t="shared" ref="F141:F204" si="65">ATAN(A141/Zero1)</f>
        <v>1.996103878228149E-2</v>
      </c>
      <c r="G141" s="326">
        <f t="shared" ref="G141:G204" si="66">IF(VIN_nom&gt;Vout, 1, SQRT(1+(A141/z_RHP)^2))</f>
        <v>1</v>
      </c>
      <c r="H141" s="327">
        <f t="shared" ref="H141:H204" si="67">IF(VIN_nom&gt;Vout, 0, -ATAN(A141/z_RHP))</f>
        <v>0</v>
      </c>
      <c r="I141" s="325">
        <f t="shared" ref="I141:I204" si="68">SQRT(1+(A141/Pole2)^2)</f>
        <v>2621.0902885039986</v>
      </c>
      <c r="J141" s="328">
        <f t="shared" ref="J141:J204" si="69">ATAN(A141/Pole2)</f>
        <v>1.5704148061625682</v>
      </c>
      <c r="K141" s="336">
        <f t="shared" ref="K141:K147" si="70">SQRT(1+(A141/Zero2)^2)</f>
        <v>2.1064304889747594</v>
      </c>
      <c r="L141" s="337">
        <f t="shared" ref="L141:L147" si="71">ATAN(A141/Zero2)</f>
        <v>1.0761314043066976</v>
      </c>
      <c r="M141" s="325">
        <f t="shared" ref="M141:M204" si="72">SQRT(1+(A141/pole4)^2)</f>
        <v>1.0025862297317996</v>
      </c>
      <c r="N141" s="337">
        <f t="shared" ref="N141:N204" si="73">ATAN(A141/pole4)</f>
        <v>7.1842441285545497E-2</v>
      </c>
      <c r="O141" s="343">
        <f t="shared" ref="O141:O204" si="74">IF(VOUT_setting=1,1,SQRT(1+(A141*zterm1)^2))</f>
        <v>1.0010647159052775</v>
      </c>
      <c r="P141" s="691">
        <f t="shared" ref="P141:P204" si="75">IF(VOUT_setting=1,0,ATAN(((A141*zterm1))))</f>
        <v>4.6125309310238762E-2</v>
      </c>
      <c r="Q141" s="336">
        <f t="shared" si="60"/>
        <v>4.1689047838651696</v>
      </c>
      <c r="R141" s="692">
        <f t="shared" ref="R141:R204" si="76">IF(VOUT_setting=1,0,ATAN(A141*$Q$4/(1+Afbr-$Q$5*(A141)^2)))</f>
        <v>7.7271042716650779E-2</v>
      </c>
      <c r="S141" s="329">
        <f t="shared" ref="S141:S204" si="77">SQRT((1-(Z141/pterm2))^2+(A141/pterm1)^2)</f>
        <v>0.99952387018151456</v>
      </c>
      <c r="T141" s="330">
        <f t="shared" ref="T141:T204" si="78">IF((ATAN((A141/pterm1)/(1-A141^2/pterm2))&gt;0),ATAN((A141/pterm1)/(1-A141^2/pterm2)),PI()+ATAN((A141/pterm1)/(1-A141^2/pterm2)))</f>
        <v>4.6002154720974194E-2</v>
      </c>
      <c r="U141" s="331">
        <f t="shared" ref="U141:U204" si="79">20*LOG10(((E141*K141*G141*O141)/(C141*I141*S141*M141*Q141))*Adc)</f>
        <v>15.442601305271303</v>
      </c>
      <c r="V141" s="332">
        <f t="shared" ref="V141:V204" si="80">((F141+L141+H141+P141)-(D141+J141+T141+N141+R141))*radconv</f>
        <v>-122.3306393312902</v>
      </c>
      <c r="W141" s="334">
        <f t="shared" ref="W141:W204" si="81">IF(V141&gt;0,V141,V141+180)</f>
        <v>57.6693606687098</v>
      </c>
      <c r="Y141" s="307">
        <f t="shared" ref="Y141:Y204" si="82">IF(U141&lt;0,A141,1000000000)</f>
        <v>1000000000</v>
      </c>
      <c r="Z141" s="307">
        <f t="shared" ref="Z141:Z204" si="83">A141^2</f>
        <v>63096014.890000001</v>
      </c>
      <c r="AB141" s="333">
        <f t="shared" ref="AB141:AB204" si="84">20*LOG10((K141/(I141*M141))*AEA)</f>
        <v>35.786092710979098</v>
      </c>
      <c r="AC141" s="334">
        <f t="shared" ref="AC141:AC204" si="85">(L141-(J141+N141))*radconv</f>
        <v>-32.436621522352638</v>
      </c>
      <c r="AE141" s="333">
        <f t="shared" ref="AE141:AE204" si="86">20*LOG10((E141*G141/(C141*S141))*Acs*Am)</f>
        <v>4.0889048582701975</v>
      </c>
      <c r="AF141" s="334">
        <f t="shared" ref="AF141:AF204" si="87">(F141+H141-(D141+T141))*radconv</f>
        <v>-88.109498732871387</v>
      </c>
      <c r="AH141">
        <f t="shared" ref="AH141:AH204" si="88">SUM((U142&lt;0)*(U141&gt;0))*A141</f>
        <v>0</v>
      </c>
      <c r="AI141">
        <f t="shared" si="61"/>
        <v>0</v>
      </c>
    </row>
    <row r="142" spans="1:35" x14ac:dyDescent="0.25">
      <c r="A142" s="335">
        <v>8035.8</v>
      </c>
      <c r="B142" s="352">
        <f t="shared" ref="B142:B205" si="89">A142/1000</f>
        <v>8.0358000000000001</v>
      </c>
      <c r="C142" s="325">
        <f t="shared" si="62"/>
        <v>17.145173956774844</v>
      </c>
      <c r="D142" s="326">
        <f t="shared" si="63"/>
        <v>1.5124377561206925</v>
      </c>
      <c r="E142" s="326">
        <f t="shared" si="64"/>
        <v>1.0002039218123933</v>
      </c>
      <c r="F142" s="327">
        <f t="shared" si="65"/>
        <v>2.0193422939217543E-2</v>
      </c>
      <c r="G142" s="326">
        <f t="shared" si="66"/>
        <v>1</v>
      </c>
      <c r="H142" s="327">
        <f t="shared" si="67"/>
        <v>0</v>
      </c>
      <c r="I142" s="325">
        <f t="shared" si="68"/>
        <v>2651.6129700845854</v>
      </c>
      <c r="J142" s="328">
        <f t="shared" si="69"/>
        <v>1.5704191978416948</v>
      </c>
      <c r="K142" s="336">
        <f t="shared" si="70"/>
        <v>2.1254563293139448</v>
      </c>
      <c r="L142" s="337">
        <f t="shared" si="71"/>
        <v>1.0809535021662222</v>
      </c>
      <c r="M142" s="325">
        <f t="shared" si="72"/>
        <v>1.0026467339435685</v>
      </c>
      <c r="N142" s="337">
        <f t="shared" si="73"/>
        <v>7.2676123049631502E-2</v>
      </c>
      <c r="O142" s="343">
        <f t="shared" si="74"/>
        <v>1.0010896440200747</v>
      </c>
      <c r="P142" s="691">
        <f t="shared" si="75"/>
        <v>4.6661665261073647E-2</v>
      </c>
      <c r="Q142" s="336">
        <f t="shared" si="60"/>
        <v>4.1691933985232001</v>
      </c>
      <c r="R142" s="692">
        <f t="shared" si="76"/>
        <v>7.8167270830165156E-2</v>
      </c>
      <c r="S142" s="329">
        <f t="shared" si="77"/>
        <v>0.9995127420047949</v>
      </c>
      <c r="T142" s="330">
        <f t="shared" si="78"/>
        <v>4.6538754738344096E-2</v>
      </c>
      <c r="U142" s="331">
        <f t="shared" si="79"/>
        <v>15.319150372484746</v>
      </c>
      <c r="V142" s="332">
        <f t="shared" si="80"/>
        <v>-122.17926859439353</v>
      </c>
      <c r="W142" s="334">
        <f t="shared" si="81"/>
        <v>57.820731405606466</v>
      </c>
      <c r="Y142" s="307">
        <f t="shared" si="82"/>
        <v>1000000000</v>
      </c>
      <c r="Z142" s="307">
        <f t="shared" si="83"/>
        <v>64574081.640000001</v>
      </c>
      <c r="AB142" s="333">
        <f t="shared" si="84"/>
        <v>35.763106561469279</v>
      </c>
      <c r="AC142" s="334">
        <f t="shared" si="85"/>
        <v>-32.208353737560067</v>
      </c>
      <c r="AE142" s="333">
        <f t="shared" si="86"/>
        <v>3.9888250913230188</v>
      </c>
      <c r="AF142" s="334">
        <f t="shared" si="87"/>
        <v>-88.165776624657994</v>
      </c>
      <c r="AH142">
        <f t="shared" si="88"/>
        <v>0</v>
      </c>
      <c r="AI142">
        <f t="shared" si="61"/>
        <v>0</v>
      </c>
    </row>
    <row r="143" spans="1:35" x14ac:dyDescent="0.25">
      <c r="A143" s="335">
        <v>8128.3</v>
      </c>
      <c r="B143" s="352">
        <f t="shared" si="89"/>
        <v>8.1282999999999994</v>
      </c>
      <c r="C143" s="325">
        <f t="shared" si="62"/>
        <v>17.341864277798066</v>
      </c>
      <c r="D143" s="326">
        <f t="shared" si="63"/>
        <v>1.5131003949771091</v>
      </c>
      <c r="E143" s="326">
        <f t="shared" si="64"/>
        <v>1.0002086430233457</v>
      </c>
      <c r="F143" s="327">
        <f t="shared" si="65"/>
        <v>2.0425804914891148E-2</v>
      </c>
      <c r="G143" s="326">
        <f t="shared" si="66"/>
        <v>1</v>
      </c>
      <c r="H143" s="327">
        <f t="shared" si="67"/>
        <v>0</v>
      </c>
      <c r="I143" s="325">
        <f t="shared" si="68"/>
        <v>2682.1356517151503</v>
      </c>
      <c r="J143" s="328">
        <f t="shared" si="69"/>
        <v>1.5704234895662768</v>
      </c>
      <c r="K143" s="336">
        <f t="shared" si="70"/>
        <v>2.1445307145028556</v>
      </c>
      <c r="L143" s="337">
        <f t="shared" si="71"/>
        <v>1.085689928880528</v>
      </c>
      <c r="M143" s="325">
        <f t="shared" si="72"/>
        <v>1.002707934935787</v>
      </c>
      <c r="N143" s="337">
        <f t="shared" si="73"/>
        <v>7.3509703624299205E-2</v>
      </c>
      <c r="O143" s="343">
        <f t="shared" si="74"/>
        <v>1.0011148601116537</v>
      </c>
      <c r="P143" s="691">
        <f t="shared" si="75"/>
        <v>4.7197994346713401E-2</v>
      </c>
      <c r="Q143" s="336">
        <f t="shared" ref="Q143:Q206" si="90">IF(VOUT_setting=1,1,SQRT((1+Afbr-$Q$5*(A143)^2)^2+(A143*$Q$4)^2))</f>
        <v>4.1694853343279741</v>
      </c>
      <c r="R143" s="692">
        <f t="shared" si="76"/>
        <v>7.9063374665486408E-2</v>
      </c>
      <c r="S143" s="329">
        <f t="shared" si="77"/>
        <v>0.99950148617787971</v>
      </c>
      <c r="T143" s="330">
        <f t="shared" si="78"/>
        <v>4.7075386131870518E-2</v>
      </c>
      <c r="U143" s="331">
        <f t="shared" si="79"/>
        <v>15.197481483474499</v>
      </c>
      <c r="V143" s="332">
        <f t="shared" si="80"/>
        <v>-122.03191007214879</v>
      </c>
      <c r="W143" s="334">
        <f t="shared" si="81"/>
        <v>57.96808992785121</v>
      </c>
      <c r="Y143" s="307">
        <f t="shared" si="82"/>
        <v>1000000000</v>
      </c>
      <c r="Z143" s="307">
        <f t="shared" si="83"/>
        <v>66069260.890000001</v>
      </c>
      <c r="AB143" s="333">
        <f t="shared" si="84"/>
        <v>35.740766000504792</v>
      </c>
      <c r="AC143" s="334">
        <f t="shared" si="85"/>
        <v>-31.984983023120023</v>
      </c>
      <c r="AE143" s="333">
        <f t="shared" si="86"/>
        <v>3.889886163448721</v>
      </c>
      <c r="AF143" s="334">
        <f t="shared" si="87"/>
        <v>-88.22117524209763</v>
      </c>
      <c r="AH143">
        <f t="shared" si="88"/>
        <v>0</v>
      </c>
      <c r="AI143">
        <f t="shared" si="61"/>
        <v>0</v>
      </c>
    </row>
    <row r="144" spans="1:35" x14ac:dyDescent="0.25">
      <c r="A144" s="335">
        <v>8222.9500000000007</v>
      </c>
      <c r="B144" s="352">
        <f t="shared" si="89"/>
        <v>8.2229500000000009</v>
      </c>
      <c r="C144" s="325">
        <f t="shared" si="62"/>
        <v>17.543134023177167</v>
      </c>
      <c r="D144" s="326">
        <f t="shared" si="63"/>
        <v>1.5137630545847853</v>
      </c>
      <c r="E144" s="326">
        <f t="shared" si="64"/>
        <v>1.0002135298804002</v>
      </c>
      <c r="F144" s="327">
        <f t="shared" si="65"/>
        <v>2.0663585917301032E-2</v>
      </c>
      <c r="G144" s="326">
        <f t="shared" si="66"/>
        <v>1</v>
      </c>
      <c r="H144" s="327">
        <f t="shared" si="67"/>
        <v>0</v>
      </c>
      <c r="I144" s="325">
        <f t="shared" si="68"/>
        <v>2713.3677795092635</v>
      </c>
      <c r="J144" s="328">
        <f t="shared" si="69"/>
        <v>1.5704277810967464</v>
      </c>
      <c r="K144" s="336">
        <f t="shared" si="70"/>
        <v>2.1640973616997461</v>
      </c>
      <c r="L144" s="337">
        <f t="shared" si="71"/>
        <v>1.0904499087308119</v>
      </c>
      <c r="M144" s="325">
        <f t="shared" si="72"/>
        <v>1.0027712795662853</v>
      </c>
      <c r="N144" s="337">
        <f t="shared" si="73"/>
        <v>7.4362553381332852E-2</v>
      </c>
      <c r="O144" s="343">
        <f t="shared" si="74"/>
        <v>1.0011409603791253</v>
      </c>
      <c r="P144" s="691">
        <f t="shared" si="75"/>
        <v>4.7746761330911727E-2</v>
      </c>
      <c r="Q144" s="336">
        <f t="shared" si="90"/>
        <v>4.1697874927751997</v>
      </c>
      <c r="R144" s="692">
        <f t="shared" si="76"/>
        <v>7.9980176759945565E-2</v>
      </c>
      <c r="S144" s="329">
        <f t="shared" si="77"/>
        <v>0.99948983663668611</v>
      </c>
      <c r="T144" s="330">
        <f t="shared" si="78"/>
        <v>4.762452343472582E-2</v>
      </c>
      <c r="U144" s="331">
        <f t="shared" si="79"/>
        <v>15.074777511643958</v>
      </c>
      <c r="V144" s="332">
        <f t="shared" si="80"/>
        <v>-121.88518775345747</v>
      </c>
      <c r="W144" s="334">
        <f t="shared" si="81"/>
        <v>58.114812246542527</v>
      </c>
      <c r="Y144" s="307">
        <f t="shared" si="82"/>
        <v>1000000000</v>
      </c>
      <c r="Z144" s="307">
        <f t="shared" si="83"/>
        <v>67616906.702500015</v>
      </c>
      <c r="AB144" s="333">
        <f t="shared" si="84"/>
        <v>35.718549304551715</v>
      </c>
      <c r="AC144" s="334">
        <f t="shared" si="85"/>
        <v>-31.761366845096259</v>
      </c>
      <c r="AE144" s="333">
        <f t="shared" si="86"/>
        <v>3.7898018739016575</v>
      </c>
      <c r="AF144" s="334">
        <f t="shared" si="87"/>
        <v>-88.276982242875377</v>
      </c>
      <c r="AH144">
        <f t="shared" si="88"/>
        <v>0</v>
      </c>
      <c r="AI144">
        <f t="shared" si="61"/>
        <v>0</v>
      </c>
    </row>
    <row r="145" spans="1:35" x14ac:dyDescent="0.25">
      <c r="A145" s="335">
        <v>8270.2750000000015</v>
      </c>
      <c r="B145" s="352">
        <f t="shared" si="89"/>
        <v>8.2702750000000016</v>
      </c>
      <c r="C145" s="325">
        <f t="shared" si="62"/>
        <v>17.643771735248677</v>
      </c>
      <c r="D145" s="326">
        <f t="shared" si="63"/>
        <v>1.5140887148946447</v>
      </c>
      <c r="E145" s="326">
        <f t="shared" si="64"/>
        <v>1.0002159945157263</v>
      </c>
      <c r="F145" s="327">
        <f t="shared" si="65"/>
        <v>2.0782475543831846E-2</v>
      </c>
      <c r="G145" s="326">
        <f t="shared" si="66"/>
        <v>1</v>
      </c>
      <c r="H145" s="327">
        <f t="shared" si="67"/>
        <v>0</v>
      </c>
      <c r="I145" s="325">
        <f t="shared" si="68"/>
        <v>2728.983843424739</v>
      </c>
      <c r="J145" s="328">
        <f t="shared" si="69"/>
        <v>1.5704298900258447</v>
      </c>
      <c r="K145" s="336">
        <f t="shared" si="70"/>
        <v>2.1738988242516628</v>
      </c>
      <c r="L145" s="337">
        <f t="shared" si="71"/>
        <v>1.0927977396662214</v>
      </c>
      <c r="M145" s="325">
        <f t="shared" si="72"/>
        <v>1.0028032253687171</v>
      </c>
      <c r="N145" s="337">
        <f t="shared" si="73"/>
        <v>7.4788937700457886E-2</v>
      </c>
      <c r="O145" s="343">
        <f t="shared" si="74"/>
        <v>1.0011541235667296</v>
      </c>
      <c r="P145" s="691">
        <f t="shared" si="75"/>
        <v>4.8021134051857775E-2</v>
      </c>
      <c r="Q145" s="336">
        <f t="shared" si="90"/>
        <v>4.1699398754876489</v>
      </c>
      <c r="R145" s="692">
        <f t="shared" si="76"/>
        <v>8.0438527996521667E-2</v>
      </c>
      <c r="S145" s="329">
        <f t="shared" si="77"/>
        <v>0.99948396177615606</v>
      </c>
      <c r="T145" s="330">
        <f t="shared" si="78"/>
        <v>4.7899104668261916E-2</v>
      </c>
      <c r="U145" s="331">
        <f t="shared" si="79"/>
        <v>15.014089688151541</v>
      </c>
      <c r="V145" s="332">
        <f t="shared" si="80"/>
        <v>-121.81333843020275</v>
      </c>
      <c r="W145" s="334">
        <f t="shared" si="81"/>
        <v>58.186661569797252</v>
      </c>
      <c r="Y145" s="307">
        <f t="shared" si="82"/>
        <v>1000000000</v>
      </c>
      <c r="Z145" s="307">
        <f t="shared" si="83"/>
        <v>68397448.575625017</v>
      </c>
      <c r="AB145" s="333">
        <f t="shared" si="84"/>
        <v>35.70767722118034</v>
      </c>
      <c r="AC145" s="334">
        <f t="shared" si="85"/>
        <v>-31.651396896034431</v>
      </c>
      <c r="AE145" s="333">
        <f t="shared" si="86"/>
        <v>3.7401893463521367</v>
      </c>
      <c r="AF145" s="334">
        <f t="shared" si="87"/>
        <v>-88.304561676203761</v>
      </c>
      <c r="AH145">
        <f t="shared" si="88"/>
        <v>0</v>
      </c>
      <c r="AI145">
        <f t="shared" si="61"/>
        <v>0</v>
      </c>
    </row>
    <row r="146" spans="1:35" x14ac:dyDescent="0.25">
      <c r="A146" s="335">
        <v>8317.6</v>
      </c>
      <c r="B146" s="352">
        <f t="shared" si="89"/>
        <v>8.3176000000000005</v>
      </c>
      <c r="C146" s="325">
        <f t="shared" si="62"/>
        <v>17.744411297298758</v>
      </c>
      <c r="D146" s="326">
        <f t="shared" si="63"/>
        <v>1.5144106811951266</v>
      </c>
      <c r="E146" s="326">
        <f t="shared" si="64"/>
        <v>1.0002184732887787</v>
      </c>
      <c r="F146" s="327">
        <f t="shared" si="65"/>
        <v>2.0901364582771056E-2</v>
      </c>
      <c r="G146" s="326">
        <f t="shared" si="66"/>
        <v>1</v>
      </c>
      <c r="H146" s="327">
        <f t="shared" si="67"/>
        <v>0</v>
      </c>
      <c r="I146" s="325">
        <f t="shared" si="68"/>
        <v>2744.5999073522125</v>
      </c>
      <c r="J146" s="328">
        <f t="shared" si="69"/>
        <v>1.5704319749564204</v>
      </c>
      <c r="K146" s="336">
        <f t="shared" si="70"/>
        <v>2.183712162397891</v>
      </c>
      <c r="L146" s="337">
        <f t="shared" si="71"/>
        <v>1.0951244815954211</v>
      </c>
      <c r="M146" s="325">
        <f t="shared" si="72"/>
        <v>1.0028353534727383</v>
      </c>
      <c r="N146" s="337">
        <f t="shared" si="73"/>
        <v>7.5215294776715444E-2</v>
      </c>
      <c r="O146" s="343">
        <f t="shared" si="74"/>
        <v>1.0011673621196218</v>
      </c>
      <c r="P146" s="691">
        <f t="shared" si="75"/>
        <v>4.8295499537332663E-2</v>
      </c>
      <c r="Q146" s="336">
        <f t="shared" si="90"/>
        <v>4.1700931270658286</v>
      </c>
      <c r="R146" s="692">
        <f t="shared" si="76"/>
        <v>8.0896845777191861E-2</v>
      </c>
      <c r="S146" s="329">
        <f t="shared" si="77"/>
        <v>0.99947805352980679</v>
      </c>
      <c r="T146" s="330">
        <f t="shared" si="78"/>
        <v>4.8173694354361529E-2</v>
      </c>
      <c r="U146" s="331">
        <f t="shared" si="79"/>
        <v>14.95383633424222</v>
      </c>
      <c r="V146" s="332">
        <f t="shared" si="80"/>
        <v>-121.74248184657942</v>
      </c>
      <c r="W146" s="334">
        <f t="shared" si="81"/>
        <v>58.257518153420577</v>
      </c>
      <c r="Y146" s="307">
        <f t="shared" si="82"/>
        <v>1000000000</v>
      </c>
      <c r="Z146" s="307">
        <f t="shared" si="83"/>
        <v>69182469.760000005</v>
      </c>
      <c r="AB146" s="333">
        <f t="shared" si="84"/>
        <v>35.696958653510279</v>
      </c>
      <c r="AC146" s="334">
        <f t="shared" si="85"/>
        <v>-31.542632322108553</v>
      </c>
      <c r="AE146" s="333">
        <f t="shared" si="86"/>
        <v>3.6908589184966338</v>
      </c>
      <c r="AF146" s="334">
        <f t="shared" si="87"/>
        <v>-88.331929976347837</v>
      </c>
      <c r="AH146">
        <f t="shared" si="88"/>
        <v>0</v>
      </c>
      <c r="AI146">
        <f t="shared" si="61"/>
        <v>0</v>
      </c>
    </row>
    <row r="147" spans="1:35" x14ac:dyDescent="0.25">
      <c r="A147" s="335">
        <v>8366.0499999999993</v>
      </c>
      <c r="B147" s="352">
        <f t="shared" si="89"/>
        <v>8.3660499999999995</v>
      </c>
      <c r="C147" s="325">
        <f t="shared" si="62"/>
        <v>17.847445125755094</v>
      </c>
      <c r="D147" s="326">
        <f t="shared" si="63"/>
        <v>1.5147365396181984</v>
      </c>
      <c r="E147" s="326">
        <f t="shared" si="64"/>
        <v>1.0002210256324353</v>
      </c>
      <c r="F147" s="327">
        <f t="shared" si="65"/>
        <v>2.1023079214858832E-2</v>
      </c>
      <c r="G147" s="326">
        <f t="shared" si="66"/>
        <v>1</v>
      </c>
      <c r="H147" s="327">
        <f t="shared" si="67"/>
        <v>0</v>
      </c>
      <c r="I147" s="325">
        <f t="shared" si="68"/>
        <v>2760.587193096836</v>
      </c>
      <c r="J147" s="328">
        <f t="shared" si="69"/>
        <v>1.5704340850137384</v>
      </c>
      <c r="K147" s="336">
        <f t="shared" si="70"/>
        <v>2.1937709171661313</v>
      </c>
      <c r="L147" s="337">
        <f t="shared" si="71"/>
        <v>1.0974849567808487</v>
      </c>
      <c r="M147" s="325">
        <f t="shared" si="72"/>
        <v>1.0028684341545837</v>
      </c>
      <c r="N147" s="337">
        <f t="shared" si="73"/>
        <v>7.5651758743108852E-2</v>
      </c>
      <c r="O147" s="343">
        <f t="shared" si="74"/>
        <v>1.0011809934474363</v>
      </c>
      <c r="P147" s="691">
        <f t="shared" si="75"/>
        <v>4.857637964338804E-2</v>
      </c>
      <c r="Q147" s="336">
        <f t="shared" si="90"/>
        <v>4.1702509217014176</v>
      </c>
      <c r="R147" s="692">
        <f t="shared" si="76"/>
        <v>8.1366023739216656E-2</v>
      </c>
      <c r="S147" s="329">
        <f t="shared" si="77"/>
        <v>0.99947197025404033</v>
      </c>
      <c r="T147" s="330">
        <f t="shared" si="78"/>
        <v>4.8454820335891692E-2</v>
      </c>
      <c r="U147" s="331">
        <f t="shared" si="79"/>
        <v>14.892594390972558</v>
      </c>
      <c r="V147" s="332">
        <f t="shared" si="80"/>
        <v>-121.67095760361883</v>
      </c>
      <c r="W147" s="334">
        <f t="shared" si="81"/>
        <v>58.329042396381169</v>
      </c>
      <c r="Y147" s="307">
        <f t="shared" si="82"/>
        <v>1000000000</v>
      </c>
      <c r="Z147" s="307">
        <f t="shared" si="83"/>
        <v>69990792.602499992</v>
      </c>
      <c r="AB147" s="333">
        <f t="shared" si="84"/>
        <v>35.686141280608574</v>
      </c>
      <c r="AC147" s="334">
        <f t="shared" si="85"/>
        <v>-31.432515496775096</v>
      </c>
      <c r="AE147" s="333">
        <f t="shared" si="86"/>
        <v>3.640644751108546</v>
      </c>
      <c r="AF147" s="334">
        <f t="shared" si="87"/>
        <v>-88.359733886269936</v>
      </c>
      <c r="AH147">
        <f t="shared" si="88"/>
        <v>0</v>
      </c>
      <c r="AI147">
        <f t="shared" si="61"/>
        <v>0</v>
      </c>
    </row>
    <row r="148" spans="1:35" x14ac:dyDescent="0.25">
      <c r="A148" s="338">
        <v>8414.5</v>
      </c>
      <c r="B148" s="352">
        <f t="shared" si="89"/>
        <v>8.4145000000000003</v>
      </c>
      <c r="C148" s="325">
        <f t="shared" si="62"/>
        <v>17.950480827563855</v>
      </c>
      <c r="D148" s="326">
        <f t="shared" si="63"/>
        <v>1.5150586572225617</v>
      </c>
      <c r="E148" s="326">
        <f t="shared" si="64"/>
        <v>1.0002235927937426</v>
      </c>
      <c r="F148" s="327">
        <f t="shared" si="65"/>
        <v>2.1144793223967232E-2</v>
      </c>
      <c r="G148" s="326">
        <f t="shared" si="66"/>
        <v>1</v>
      </c>
      <c r="H148" s="327">
        <f t="shared" si="67"/>
        <v>0</v>
      </c>
      <c r="I148" s="325">
        <f t="shared" si="68"/>
        <v>2776.5744788536099</v>
      </c>
      <c r="J148" s="328">
        <f t="shared" si="69"/>
        <v>1.5704361707719861</v>
      </c>
      <c r="K148" s="336">
        <f t="shared" ref="K148:K157" si="91">SQRT(1+(A148/Zero2)^2)</f>
        <v>2.2038417836628206</v>
      </c>
      <c r="L148" s="337">
        <f t="shared" ref="L148:L157" si="92">ATAN(A148/Zero2)</f>
        <v>1.0998238716351831</v>
      </c>
      <c r="M148" s="325">
        <f t="shared" si="72"/>
        <v>1.0029017058710374</v>
      </c>
      <c r="N148" s="337">
        <f t="shared" si="73"/>
        <v>7.6088193832861015E-2</v>
      </c>
      <c r="O148" s="343">
        <f t="shared" si="74"/>
        <v>1.0011947037599029</v>
      </c>
      <c r="P148" s="691">
        <f t="shared" si="75"/>
        <v>4.8857252078884451E-2</v>
      </c>
      <c r="Q148" s="336">
        <f t="shared" si="90"/>
        <v>4.1704096267989748</v>
      </c>
      <c r="R148" s="692">
        <f t="shared" si="76"/>
        <v>8.1835166240318155E-2</v>
      </c>
      <c r="S148" s="329">
        <f t="shared" si="77"/>
        <v>0.99946585199831151</v>
      </c>
      <c r="T148" s="330">
        <f t="shared" si="78"/>
        <v>4.8735955279222885E-2</v>
      </c>
      <c r="U148" s="331">
        <f t="shared" si="79"/>
        <v>14.831795059822184</v>
      </c>
      <c r="V148" s="332">
        <f t="shared" si="80"/>
        <v>-121.60045025366503</v>
      </c>
      <c r="W148" s="334">
        <f t="shared" si="81"/>
        <v>58.399549746334969</v>
      </c>
      <c r="Y148" s="307">
        <f t="shared" si="82"/>
        <v>1000000000</v>
      </c>
      <c r="Z148" s="307">
        <f t="shared" si="83"/>
        <v>70803810.25</v>
      </c>
      <c r="AB148" s="333">
        <f t="shared" si="84"/>
        <v>35.67547870654051</v>
      </c>
      <c r="AC148" s="334">
        <f t="shared" si="85"/>
        <v>-31.323630940675741</v>
      </c>
      <c r="AE148" s="333">
        <f t="shared" si="86"/>
        <v>3.5907195972051875</v>
      </c>
      <c r="AF148" s="334">
        <f t="shared" si="87"/>
        <v>-88.387324012235354</v>
      </c>
      <c r="AH148">
        <f t="shared" si="88"/>
        <v>0</v>
      </c>
      <c r="AI148">
        <f t="shared" si="61"/>
        <v>0</v>
      </c>
    </row>
    <row r="149" spans="1:35" x14ac:dyDescent="0.25">
      <c r="A149" s="338">
        <v>8462.9500000000007</v>
      </c>
      <c r="B149" s="352">
        <f t="shared" si="89"/>
        <v>8.4629500000000011</v>
      </c>
      <c r="C149" s="325">
        <f t="shared" si="62"/>
        <v>18.053518370650043</v>
      </c>
      <c r="D149" s="326">
        <f t="shared" si="63"/>
        <v>1.5153770979911489</v>
      </c>
      <c r="E149" s="326">
        <f t="shared" si="64"/>
        <v>1.000226174772586</v>
      </c>
      <c r="F149" s="327">
        <f t="shared" si="65"/>
        <v>2.1266506606494862E-2</v>
      </c>
      <c r="G149" s="326">
        <f t="shared" si="66"/>
        <v>1</v>
      </c>
      <c r="H149" s="327">
        <f t="shared" si="67"/>
        <v>0</v>
      </c>
      <c r="I149" s="325">
        <f t="shared" si="68"/>
        <v>2792.5617646223245</v>
      </c>
      <c r="J149" s="328">
        <f t="shared" si="69"/>
        <v>1.5704382326484965</v>
      </c>
      <c r="K149" s="336">
        <f t="shared" si="91"/>
        <v>2.2139245966037442</v>
      </c>
      <c r="L149" s="337">
        <f t="shared" si="92"/>
        <v>1.1021414949671848</v>
      </c>
      <c r="M149" s="325">
        <f t="shared" si="72"/>
        <v>1.0029351686030872</v>
      </c>
      <c r="N149" s="337">
        <f t="shared" si="73"/>
        <v>7.6524599882593664E-2</v>
      </c>
      <c r="O149" s="343">
        <f t="shared" si="74"/>
        <v>1.0012084930537772</v>
      </c>
      <c r="P149" s="691">
        <f t="shared" si="75"/>
        <v>4.9138116799822239E-2</v>
      </c>
      <c r="Q149" s="336">
        <f t="shared" si="90"/>
        <v>4.170569242254567</v>
      </c>
      <c r="R149" s="692">
        <f t="shared" si="76"/>
        <v>8.2304273080561569E-2</v>
      </c>
      <c r="S149" s="329">
        <f t="shared" si="77"/>
        <v>0.99945969876874596</v>
      </c>
      <c r="T149" s="330">
        <f t="shared" si="78"/>
        <v>4.9017099236255544E-2</v>
      </c>
      <c r="U149" s="331">
        <f t="shared" si="79"/>
        <v>14.771432076724258</v>
      </c>
      <c r="V149" s="332">
        <f t="shared" si="80"/>
        <v>-121.53094806985872</v>
      </c>
      <c r="W149" s="334">
        <f t="shared" si="81"/>
        <v>58.469051930141276</v>
      </c>
      <c r="Y149" s="307">
        <f t="shared" si="82"/>
        <v>1000000000</v>
      </c>
      <c r="Z149" s="307">
        <f t="shared" si="83"/>
        <v>71621522.702500015</v>
      </c>
      <c r="AB149" s="333">
        <f t="shared" si="84"/>
        <v>35.664967949726943</v>
      </c>
      <c r="AC149" s="334">
        <f t="shared" si="85"/>
        <v>-31.215963266753548</v>
      </c>
      <c r="AE149" s="333">
        <f t="shared" si="86"/>
        <v>3.5410801739231079</v>
      </c>
      <c r="AF149" s="334">
        <f t="shared" si="87"/>
        <v>-88.414704023376075</v>
      </c>
      <c r="AH149">
        <f t="shared" si="88"/>
        <v>0</v>
      </c>
      <c r="AI149">
        <f t="shared" si="61"/>
        <v>0</v>
      </c>
    </row>
    <row r="150" spans="1:35" x14ac:dyDescent="0.25">
      <c r="A150" s="338">
        <v>8511.4</v>
      </c>
      <c r="B150" s="352">
        <f t="shared" si="89"/>
        <v>8.5114000000000001</v>
      </c>
      <c r="C150" s="325">
        <f t="shared" si="62"/>
        <v>18.156557723666186</v>
      </c>
      <c r="D150" s="326">
        <f t="shared" si="63"/>
        <v>1.5156919244574902</v>
      </c>
      <c r="E150" s="326">
        <f t="shared" si="64"/>
        <v>1.0002287715688507</v>
      </c>
      <c r="F150" s="327">
        <f t="shared" si="65"/>
        <v>2.1388219358840416E-2</v>
      </c>
      <c r="G150" s="326">
        <f t="shared" si="66"/>
        <v>1</v>
      </c>
      <c r="H150" s="327">
        <f t="shared" si="67"/>
        <v>0</v>
      </c>
      <c r="I150" s="325">
        <f t="shared" si="68"/>
        <v>2808.5490504027757</v>
      </c>
      <c r="J150" s="328">
        <f t="shared" si="69"/>
        <v>1.5704402710511005</v>
      </c>
      <c r="K150" s="336">
        <f t="shared" si="91"/>
        <v>2.2240191935077163</v>
      </c>
      <c r="L150" s="337">
        <f t="shared" si="92"/>
        <v>1.1044380916288388</v>
      </c>
      <c r="M150" s="325">
        <f t="shared" si="72"/>
        <v>1.002968822331614</v>
      </c>
      <c r="N150" s="337">
        <f t="shared" si="73"/>
        <v>7.6960976728994504E-2</v>
      </c>
      <c r="O150" s="343">
        <f t="shared" si="74"/>
        <v>1.0012223613257958</v>
      </c>
      <c r="P150" s="691">
        <f t="shared" si="75"/>
        <v>4.9418973762209037E-2</v>
      </c>
      <c r="Q150" s="336">
        <f t="shared" si="90"/>
        <v>4.1707297679636826</v>
      </c>
      <c r="R150" s="692">
        <f t="shared" si="76"/>
        <v>8.2773344060104795E-2</v>
      </c>
      <c r="S150" s="329">
        <f t="shared" si="77"/>
        <v>0.99945351057150489</v>
      </c>
      <c r="T150" s="330">
        <f t="shared" si="78"/>
        <v>4.9298252258890091E-2</v>
      </c>
      <c r="U150" s="331">
        <f t="shared" si="79"/>
        <v>14.711499301559225</v>
      </c>
      <c r="V150" s="332">
        <f t="shared" si="80"/>
        <v>-121.46243946846657</v>
      </c>
      <c r="W150" s="334">
        <f t="shared" si="81"/>
        <v>58.53756053153343</v>
      </c>
      <c r="Y150" s="307">
        <f t="shared" si="82"/>
        <v>1000000000</v>
      </c>
      <c r="Z150" s="307">
        <f t="shared" si="83"/>
        <v>72443929.959999993</v>
      </c>
      <c r="AB150" s="333">
        <f t="shared" si="84"/>
        <v>35.654606097009143</v>
      </c>
      <c r="AC150" s="334">
        <f t="shared" si="85"/>
        <v>-31.109497314117448</v>
      </c>
      <c r="AE150" s="333">
        <f t="shared" si="86"/>
        <v>3.4917232539237069</v>
      </c>
      <c r="AF150" s="334">
        <f t="shared" si="87"/>
        <v>-88.441877505779487</v>
      </c>
      <c r="AH150">
        <f t="shared" si="88"/>
        <v>0</v>
      </c>
      <c r="AI150">
        <f t="shared" si="61"/>
        <v>0</v>
      </c>
    </row>
    <row r="151" spans="1:35" x14ac:dyDescent="0.25">
      <c r="A151" s="338">
        <v>8560.9500000000007</v>
      </c>
      <c r="B151" s="352">
        <f t="shared" si="89"/>
        <v>8.5609500000000001</v>
      </c>
      <c r="C151" s="325">
        <f t="shared" si="62"/>
        <v>18.261938303545467</v>
      </c>
      <c r="D151" s="326">
        <f t="shared" si="63"/>
        <v>1.5160102240579032</v>
      </c>
      <c r="E151" s="326">
        <f t="shared" si="64"/>
        <v>1.0002314426480443</v>
      </c>
      <c r="F151" s="327">
        <f t="shared" si="65"/>
        <v>2.1512694799849734E-2</v>
      </c>
      <c r="G151" s="326">
        <f t="shared" si="66"/>
        <v>1</v>
      </c>
      <c r="H151" s="327">
        <f t="shared" si="67"/>
        <v>0</v>
      </c>
      <c r="I151" s="325">
        <f t="shared" si="68"/>
        <v>2824.8993086277392</v>
      </c>
      <c r="J151" s="328">
        <f t="shared" si="69"/>
        <v>1.5704423318691902</v>
      </c>
      <c r="K151" s="336">
        <f t="shared" si="91"/>
        <v>2.2343549981698065</v>
      </c>
      <c r="L151" s="337">
        <f t="shared" si="92"/>
        <v>1.1067653535653001</v>
      </c>
      <c r="M151" s="325">
        <f t="shared" si="72"/>
        <v>1.0030034376584711</v>
      </c>
      <c r="N151" s="337">
        <f t="shared" si="73"/>
        <v>7.7407230620532688E-2</v>
      </c>
      <c r="O151" s="343">
        <f t="shared" si="74"/>
        <v>1.0012366261452808</v>
      </c>
      <c r="P151" s="691">
        <f t="shared" si="75"/>
        <v>4.9706199179445409E-2</v>
      </c>
      <c r="Q151" s="336">
        <f t="shared" si="90"/>
        <v>4.170894879597288</v>
      </c>
      <c r="R151" s="692">
        <f t="shared" si="76"/>
        <v>8.3253027442599339E-2</v>
      </c>
      <c r="S151" s="329">
        <f t="shared" si="77"/>
        <v>0.99944714571747817</v>
      </c>
      <c r="T151" s="330">
        <f t="shared" si="78"/>
        <v>4.9585797959446176E-2</v>
      </c>
      <c r="U151" s="331">
        <f t="shared" si="79"/>
        <v>14.650644521222855</v>
      </c>
      <c r="V151" s="332">
        <f t="shared" si="80"/>
        <v>-121.39339121286578</v>
      </c>
      <c r="W151" s="334">
        <f t="shared" si="81"/>
        <v>58.606608787134221</v>
      </c>
      <c r="Y151" s="307">
        <f t="shared" si="82"/>
        <v>1000000000</v>
      </c>
      <c r="Z151" s="307">
        <f t="shared" si="83"/>
        <v>73289864.902500018</v>
      </c>
      <c r="AB151" s="333">
        <f t="shared" si="84"/>
        <v>35.644160038054522</v>
      </c>
      <c r="AC151" s="334">
        <f t="shared" si="85"/>
        <v>-31.001841567969063</v>
      </c>
      <c r="AE151" s="333">
        <f t="shared" si="86"/>
        <v>3.441534633869276</v>
      </c>
      <c r="AF151" s="334">
        <f t="shared" si="87"/>
        <v>-88.469457967171508</v>
      </c>
      <c r="AH151">
        <f t="shared" si="88"/>
        <v>0</v>
      </c>
      <c r="AI151">
        <f t="shared" si="61"/>
        <v>0</v>
      </c>
    </row>
    <row r="152" spans="1:35" x14ac:dyDescent="0.25">
      <c r="A152" s="338">
        <v>8610.5</v>
      </c>
      <c r="B152" s="352">
        <f t="shared" si="89"/>
        <v>8.6105</v>
      </c>
      <c r="C152" s="325">
        <f t="shared" si="62"/>
        <v>18.367320712395582</v>
      </c>
      <c r="D152" s="326">
        <f t="shared" si="63"/>
        <v>1.5163248712052246</v>
      </c>
      <c r="E152" s="326">
        <f t="shared" si="64"/>
        <v>1.0002341292248766</v>
      </c>
      <c r="F152" s="327">
        <f t="shared" si="65"/>
        <v>2.1637169574118556E-2</v>
      </c>
      <c r="G152" s="326">
        <f t="shared" si="66"/>
        <v>1</v>
      </c>
      <c r="H152" s="327">
        <f t="shared" si="67"/>
        <v>0</v>
      </c>
      <c r="I152" s="325">
        <f t="shared" si="68"/>
        <v>2841.2495668645615</v>
      </c>
      <c r="J152" s="328">
        <f t="shared" si="69"/>
        <v>1.5704443689689076</v>
      </c>
      <c r="K152" s="336">
        <f t="shared" si="91"/>
        <v>2.2447027929471166</v>
      </c>
      <c r="L152" s="337">
        <f t="shared" si="92"/>
        <v>1.1090711711307997</v>
      </c>
      <c r="M152" s="325">
        <f t="shared" si="72"/>
        <v>1.0030382527121668</v>
      </c>
      <c r="N152" s="337">
        <f t="shared" si="73"/>
        <v>7.785345362234207E-2</v>
      </c>
      <c r="O152" s="343">
        <f t="shared" si="74"/>
        <v>1.0012509735628683</v>
      </c>
      <c r="P152" s="691">
        <f t="shared" si="75"/>
        <v>4.9993416388787675E-2</v>
      </c>
      <c r="Q152" s="336">
        <f t="shared" si="90"/>
        <v>4.1710609430631198</v>
      </c>
      <c r="R152" s="692">
        <f t="shared" si="76"/>
        <v>8.3732672895074037E-2</v>
      </c>
      <c r="S152" s="329">
        <f t="shared" si="77"/>
        <v>0.99944074430310015</v>
      </c>
      <c r="T152" s="330">
        <f t="shared" si="78"/>
        <v>4.9873353251724789E-2</v>
      </c>
      <c r="U152" s="331">
        <f t="shared" si="79"/>
        <v>14.590227099071257</v>
      </c>
      <c r="V152" s="332">
        <f t="shared" si="80"/>
        <v>-121.3253581150701</v>
      </c>
      <c r="W152" s="334">
        <f t="shared" si="81"/>
        <v>58.674641884929898</v>
      </c>
      <c r="Y152" s="307">
        <f t="shared" si="82"/>
        <v>1000000000</v>
      </c>
      <c r="Z152" s="307">
        <f t="shared" si="83"/>
        <v>74140710.25</v>
      </c>
      <c r="AB152" s="333">
        <f t="shared" si="84"/>
        <v>35.633863769572152</v>
      </c>
      <c r="AC152" s="334">
        <f t="shared" si="85"/>
        <v>-30.895411364958786</v>
      </c>
      <c r="AE152" s="333">
        <f t="shared" si="86"/>
        <v>3.3916348352492962</v>
      </c>
      <c r="AF152" s="334">
        <f t="shared" si="87"/>
        <v>-88.496829746182883</v>
      </c>
      <c r="AH152">
        <f t="shared" si="88"/>
        <v>0</v>
      </c>
      <c r="AI152">
        <f t="shared" si="61"/>
        <v>0</v>
      </c>
    </row>
    <row r="153" spans="1:35" x14ac:dyDescent="0.25">
      <c r="A153" s="338">
        <v>8660.0499999999993</v>
      </c>
      <c r="B153" s="352">
        <f t="shared" si="89"/>
        <v>8.66005</v>
      </c>
      <c r="C153" s="325">
        <f t="shared" si="62"/>
        <v>18.472704918915003</v>
      </c>
      <c r="D153" s="326">
        <f t="shared" si="63"/>
        <v>1.5166359283468203</v>
      </c>
      <c r="E153" s="326">
        <f t="shared" si="64"/>
        <v>1.0002368312992223</v>
      </c>
      <c r="F153" s="327">
        <f t="shared" si="65"/>
        <v>2.176164367779505E-2</v>
      </c>
      <c r="G153" s="326">
        <f t="shared" si="66"/>
        <v>1</v>
      </c>
      <c r="H153" s="327">
        <f t="shared" si="67"/>
        <v>0</v>
      </c>
      <c r="I153" s="325">
        <f t="shared" si="68"/>
        <v>2857.5998251130391</v>
      </c>
      <c r="J153" s="328">
        <f t="shared" si="69"/>
        <v>1.5704463827573789</v>
      </c>
      <c r="K153" s="336">
        <f t="shared" si="91"/>
        <v>2.2550624127826899</v>
      </c>
      <c r="L153" s="337">
        <f t="shared" si="92"/>
        <v>1.1113558151786442</v>
      </c>
      <c r="M153" s="325">
        <f t="shared" si="72"/>
        <v>1.0030732674719045</v>
      </c>
      <c r="N153" s="337">
        <f t="shared" si="73"/>
        <v>7.8299645559949019E-2</v>
      </c>
      <c r="O153" s="343">
        <f t="shared" si="74"/>
        <v>1.0012654035750075</v>
      </c>
      <c r="P153" s="691">
        <f t="shared" si="75"/>
        <v>5.0280625343202469E-2</v>
      </c>
      <c r="Q153" s="336">
        <f t="shared" si="90"/>
        <v>4.1712279582475018</v>
      </c>
      <c r="R153" s="692">
        <f t="shared" si="76"/>
        <v>8.4212280204068374E-2</v>
      </c>
      <c r="S153" s="329">
        <f t="shared" si="77"/>
        <v>0.99943430633507679</v>
      </c>
      <c r="T153" s="330">
        <f t="shared" si="78"/>
        <v>5.0160918191242201E-2</v>
      </c>
      <c r="U153" s="331">
        <f t="shared" si="79"/>
        <v>14.530240849831834</v>
      </c>
      <c r="V153" s="332">
        <f t="shared" si="80"/>
        <v>-121.25832824149462</v>
      </c>
      <c r="W153" s="334">
        <f t="shared" si="81"/>
        <v>58.741671758505376</v>
      </c>
      <c r="Y153" s="307">
        <f t="shared" si="82"/>
        <v>1000000000</v>
      </c>
      <c r="Z153" s="307">
        <f t="shared" si="83"/>
        <v>74996466.002499983</v>
      </c>
      <c r="AB153" s="333">
        <f t="shared" si="84"/>
        <v>35.623714385843044</v>
      </c>
      <c r="AC153" s="334">
        <f t="shared" si="85"/>
        <v>-30.790191199665252</v>
      </c>
      <c r="AE153" s="333">
        <f t="shared" si="86"/>
        <v>3.3420205780993339</v>
      </c>
      <c r="AF153" s="334">
        <f t="shared" si="87"/>
        <v>-88.523996424185711</v>
      </c>
      <c r="AH153">
        <f t="shared" si="88"/>
        <v>0</v>
      </c>
      <c r="AI153">
        <f t="shared" si="61"/>
        <v>0</v>
      </c>
    </row>
    <row r="154" spans="1:35" x14ac:dyDescent="0.25">
      <c r="A154" s="338">
        <v>8709.6</v>
      </c>
      <c r="B154" s="352">
        <f t="shared" si="89"/>
        <v>8.7096</v>
      </c>
      <c r="C154" s="325">
        <f t="shared" si="62"/>
        <v>18.578090892511899</v>
      </c>
      <c r="D154" s="326">
        <f t="shared" si="63"/>
        <v>1.5169434565159172</v>
      </c>
      <c r="E154" s="326">
        <f t="shared" si="64"/>
        <v>1.0002395488709563</v>
      </c>
      <c r="F154" s="327">
        <f t="shared" si="65"/>
        <v>2.1886117107027522E-2</v>
      </c>
      <c r="G154" s="326">
        <f t="shared" si="66"/>
        <v>1</v>
      </c>
      <c r="H154" s="327">
        <f t="shared" si="67"/>
        <v>0</v>
      </c>
      <c r="I154" s="325">
        <f t="shared" si="68"/>
        <v>2873.9500833729744</v>
      </c>
      <c r="J154" s="328">
        <f t="shared" si="69"/>
        <v>1.5704483736324655</v>
      </c>
      <c r="K154" s="336">
        <f t="shared" si="91"/>
        <v>2.2654336954518226</v>
      </c>
      <c r="L154" s="337">
        <f t="shared" si="92"/>
        <v>1.1136195524948613</v>
      </c>
      <c r="M154" s="325">
        <f t="shared" si="72"/>
        <v>1.0031084819167708</v>
      </c>
      <c r="N154" s="337">
        <f t="shared" si="73"/>
        <v>7.8745806258953666E-2</v>
      </c>
      <c r="O154" s="343">
        <f t="shared" si="74"/>
        <v>1.0012799161781274</v>
      </c>
      <c r="P154" s="691">
        <f t="shared" si="75"/>
        <v>5.0567825995664582E-2</v>
      </c>
      <c r="Q154" s="336">
        <f t="shared" si="90"/>
        <v>4.1713959250361281</v>
      </c>
      <c r="R154" s="692">
        <f t="shared" si="76"/>
        <v>8.4691849156225518E-2</v>
      </c>
      <c r="S154" s="329">
        <f t="shared" si="77"/>
        <v>0.9994278318201526</v>
      </c>
      <c r="T154" s="330">
        <f t="shared" si="78"/>
        <v>5.0448492833514644E-2</v>
      </c>
      <c r="U154" s="331">
        <f t="shared" si="79"/>
        <v>14.470679710881829</v>
      </c>
      <c r="V154" s="332">
        <f t="shared" si="80"/>
        <v>-121.19228981004719</v>
      </c>
      <c r="W154" s="334">
        <f t="shared" si="81"/>
        <v>58.807710189952815</v>
      </c>
      <c r="Y154" s="307">
        <f t="shared" si="82"/>
        <v>1000000000</v>
      </c>
      <c r="Z154" s="307">
        <f t="shared" si="83"/>
        <v>75857132.160000011</v>
      </c>
      <c r="AB154" s="333">
        <f t="shared" si="84"/>
        <v>35.613709048320388</v>
      </c>
      <c r="AC154" s="334">
        <f t="shared" si="85"/>
        <v>-30.68616579917845</v>
      </c>
      <c r="AE154" s="333">
        <f t="shared" si="86"/>
        <v>3.292688637930401</v>
      </c>
      <c r="AF154" s="334">
        <f t="shared" si="87"/>
        <v>-88.550961501527823</v>
      </c>
      <c r="AH154">
        <f t="shared" si="88"/>
        <v>0</v>
      </c>
      <c r="AI154">
        <f t="shared" ref="AI154:AI217" si="93">IF(AH154&gt;0,W154,0)</f>
        <v>0</v>
      </c>
    </row>
    <row r="155" spans="1:35" x14ac:dyDescent="0.25">
      <c r="A155" s="338">
        <v>8760.3250000000007</v>
      </c>
      <c r="B155" s="352">
        <f t="shared" si="89"/>
        <v>8.7603249999999999</v>
      </c>
      <c r="C155" s="325">
        <f t="shared" si="62"/>
        <v>18.685977727260425</v>
      </c>
      <c r="D155" s="326">
        <f t="shared" si="63"/>
        <v>1.5172546840170262</v>
      </c>
      <c r="E155" s="326">
        <f t="shared" si="64"/>
        <v>1.0002423469384696</v>
      </c>
      <c r="F155" s="327">
        <f t="shared" si="65"/>
        <v>2.2013541524419266E-2</v>
      </c>
      <c r="G155" s="326">
        <f t="shared" si="66"/>
        <v>1</v>
      </c>
      <c r="H155" s="327">
        <f t="shared" si="67"/>
        <v>0</v>
      </c>
      <c r="I155" s="325">
        <f t="shared" si="68"/>
        <v>2890.6880621986688</v>
      </c>
      <c r="J155" s="328">
        <f t="shared" si="69"/>
        <v>1.5704503883890817</v>
      </c>
      <c r="K155" s="336">
        <f t="shared" si="91"/>
        <v>2.2760628312186153</v>
      </c>
      <c r="L155" s="337">
        <f t="shared" si="92"/>
        <v>1.1159155888326595</v>
      </c>
      <c r="M155" s="325">
        <f t="shared" si="72"/>
        <v>1.0031447382387291</v>
      </c>
      <c r="N155" s="337">
        <f t="shared" si="73"/>
        <v>7.9202514413803368E-2</v>
      </c>
      <c r="O155" s="343">
        <f t="shared" si="74"/>
        <v>1.0012948584729369</v>
      </c>
      <c r="P155" s="691">
        <f t="shared" si="75"/>
        <v>5.0861828509372847E-2</v>
      </c>
      <c r="Q155" s="336">
        <f t="shared" si="90"/>
        <v>4.1715688604923713</v>
      </c>
      <c r="R155" s="692">
        <f t="shared" si="76"/>
        <v>8.5182750374118765E-2</v>
      </c>
      <c r="S155" s="329">
        <f t="shared" si="77"/>
        <v>0.99942116592225982</v>
      </c>
      <c r="T155" s="330">
        <f t="shared" si="78"/>
        <v>5.0742896962859434E-2</v>
      </c>
      <c r="U155" s="331">
        <f t="shared" si="79"/>
        <v>14.410140320614914</v>
      </c>
      <c r="V155" s="332">
        <f t="shared" si="80"/>
        <v>-121.12570022478209</v>
      </c>
      <c r="W155" s="334">
        <f t="shared" si="81"/>
        <v>58.874299775217906</v>
      </c>
      <c r="Y155" s="307">
        <f t="shared" si="82"/>
        <v>1000000000</v>
      </c>
      <c r="Z155" s="307">
        <f t="shared" si="83"/>
        <v>76743294.105625018</v>
      </c>
      <c r="AB155" s="333">
        <f t="shared" si="84"/>
        <v>35.603612765564293</v>
      </c>
      <c r="AC155" s="334">
        <f t="shared" si="85"/>
        <v>-30.580895494086601</v>
      </c>
      <c r="AE155" s="333">
        <f t="shared" si="86"/>
        <v>3.242475997576669</v>
      </c>
      <c r="AF155" s="334">
        <f t="shared" si="87"/>
        <v>-88.57836075660029</v>
      </c>
      <c r="AH155">
        <f t="shared" si="88"/>
        <v>0</v>
      </c>
      <c r="AI155">
        <f t="shared" si="93"/>
        <v>0</v>
      </c>
    </row>
    <row r="156" spans="1:35" x14ac:dyDescent="0.25">
      <c r="A156" s="338">
        <v>8811.0499999999993</v>
      </c>
      <c r="B156" s="352">
        <f t="shared" si="89"/>
        <v>8.8110499999999998</v>
      </c>
      <c r="C156" s="325">
        <f t="shared" si="62"/>
        <v>18.79386635120003</v>
      </c>
      <c r="D156" s="326">
        <f t="shared" si="63"/>
        <v>1.5175623382640915</v>
      </c>
      <c r="E156" s="326">
        <f t="shared" si="64"/>
        <v>1.0002451612468093</v>
      </c>
      <c r="F156" s="327">
        <f t="shared" si="65"/>
        <v>2.2140965226832572E-2</v>
      </c>
      <c r="G156" s="326">
        <f t="shared" si="66"/>
        <v>1</v>
      </c>
      <c r="H156" s="327">
        <f t="shared" si="67"/>
        <v>0</v>
      </c>
      <c r="I156" s="325">
        <f t="shared" si="68"/>
        <v>2907.4260410359625</v>
      </c>
      <c r="J156" s="328">
        <f t="shared" si="69"/>
        <v>1.5704523799478909</v>
      </c>
      <c r="K156" s="336">
        <f t="shared" si="91"/>
        <v>2.2867038543102538</v>
      </c>
      <c r="L156" s="337">
        <f t="shared" si="92"/>
        <v>1.1181902681669336</v>
      </c>
      <c r="M156" s="325">
        <f t="shared" si="72"/>
        <v>1.0031812037838133</v>
      </c>
      <c r="N156" s="337">
        <f t="shared" si="73"/>
        <v>7.9659189461302266E-2</v>
      </c>
      <c r="O156" s="343">
        <f t="shared" si="74"/>
        <v>1.0013098873145609</v>
      </c>
      <c r="P156" s="691">
        <f t="shared" si="75"/>
        <v>5.1155822223018482E-2</v>
      </c>
      <c r="Q156" s="336">
        <f t="shared" si="90"/>
        <v>4.1717427929750963</v>
      </c>
      <c r="R156" s="692">
        <f t="shared" si="76"/>
        <v>8.5673610942303913E-2</v>
      </c>
      <c r="S156" s="329">
        <f t="shared" si="77"/>
        <v>0.99941446173804049</v>
      </c>
      <c r="T156" s="330">
        <f t="shared" si="78"/>
        <v>5.1037311378326768E-2</v>
      </c>
      <c r="U156" s="331">
        <f t="shared" si="79"/>
        <v>14.350033964310409</v>
      </c>
      <c r="V156" s="332">
        <f t="shared" si="80"/>
        <v>-121.06012515272579</v>
      </c>
      <c r="W156" s="334">
        <f t="shared" si="81"/>
        <v>58.939874847274211</v>
      </c>
      <c r="Y156" s="307">
        <f t="shared" si="82"/>
        <v>1000000000</v>
      </c>
      <c r="Z156" s="307">
        <f t="shared" si="83"/>
        <v>77634602.102499992</v>
      </c>
      <c r="AB156" s="333">
        <f t="shared" si="84"/>
        <v>35.593661629568196</v>
      </c>
      <c r="AC156" s="334">
        <f t="shared" si="85"/>
        <v>-30.476845629113225</v>
      </c>
      <c r="AE156" s="333">
        <f t="shared" si="86"/>
        <v>3.192552556565702</v>
      </c>
      <c r="AF156" s="334">
        <f t="shared" si="87"/>
        <v>-88.605555909613358</v>
      </c>
      <c r="AH156">
        <f t="shared" si="88"/>
        <v>0</v>
      </c>
      <c r="AI156">
        <f t="shared" si="93"/>
        <v>0</v>
      </c>
    </row>
    <row r="157" spans="1:35" x14ac:dyDescent="0.25">
      <c r="A157" s="338">
        <v>8861.7749999999996</v>
      </c>
      <c r="B157" s="352">
        <f t="shared" si="89"/>
        <v>8.8617749999999997</v>
      </c>
      <c r="C157" s="325">
        <f t="shared" si="62"/>
        <v>18.90175673369335</v>
      </c>
      <c r="D157" s="326">
        <f t="shared" si="63"/>
        <v>1.5178664803862918</v>
      </c>
      <c r="E157" s="326">
        <f t="shared" si="64"/>
        <v>1.0002479917958378</v>
      </c>
      <c r="F157" s="327">
        <f t="shared" si="65"/>
        <v>2.2268388210135586E-2</v>
      </c>
      <c r="G157" s="326">
        <f t="shared" si="66"/>
        <v>1</v>
      </c>
      <c r="H157" s="327">
        <f t="shared" si="67"/>
        <v>0</v>
      </c>
      <c r="I157" s="325">
        <f t="shared" si="68"/>
        <v>2924.1640198846553</v>
      </c>
      <c r="J157" s="328">
        <f t="shared" si="69"/>
        <v>1.5704543487072478</v>
      </c>
      <c r="K157" s="336">
        <f t="shared" si="91"/>
        <v>2.2973565995456422</v>
      </c>
      <c r="L157" s="337">
        <f t="shared" si="92"/>
        <v>1.1204438638883485</v>
      </c>
      <c r="M157" s="325">
        <f t="shared" si="72"/>
        <v>1.0032178785292083</v>
      </c>
      <c r="N157" s="337">
        <f t="shared" si="73"/>
        <v>8.0115831214589969E-2</v>
      </c>
      <c r="O157" s="343">
        <f t="shared" si="74"/>
        <v>1.0013250026991032</v>
      </c>
      <c r="P157" s="691">
        <f t="shared" si="75"/>
        <v>5.1449807086177801E-2</v>
      </c>
      <c r="Q157" s="336">
        <f t="shared" si="90"/>
        <v>4.1719177223596091</v>
      </c>
      <c r="R157" s="692">
        <f t="shared" si="76"/>
        <v>8.6164430632224537E-2</v>
      </c>
      <c r="S157" s="329">
        <f t="shared" si="77"/>
        <v>0.99940771927485716</v>
      </c>
      <c r="T157" s="330">
        <f t="shared" si="78"/>
        <v>5.1331736139476662E-2</v>
      </c>
      <c r="U157" s="331">
        <f t="shared" si="79"/>
        <v>14.290354517585653</v>
      </c>
      <c r="V157" s="332">
        <f t="shared" si="80"/>
        <v>-120.9955524377517</v>
      </c>
      <c r="W157" s="334">
        <f t="shared" si="81"/>
        <v>59.004447562248302</v>
      </c>
      <c r="Y157" s="307">
        <f t="shared" si="82"/>
        <v>1000000000</v>
      </c>
      <c r="Z157" s="307">
        <f t="shared" si="83"/>
        <v>78531056.15062499</v>
      </c>
      <c r="AB157" s="333">
        <f t="shared" si="84"/>
        <v>35.583852802201577</v>
      </c>
      <c r="AC157" s="334">
        <f t="shared" si="85"/>
        <v>-30.374000552244752</v>
      </c>
      <c r="AE157" s="333">
        <f t="shared" si="86"/>
        <v>3.1429150281948823</v>
      </c>
      <c r="AF157" s="334">
        <f t="shared" si="87"/>
        <v>-88.632550466660248</v>
      </c>
      <c r="AH157">
        <f t="shared" si="88"/>
        <v>0</v>
      </c>
      <c r="AI157">
        <f t="shared" si="93"/>
        <v>0</v>
      </c>
    </row>
    <row r="158" spans="1:35" x14ac:dyDescent="0.25">
      <c r="A158" s="335">
        <v>8912.5</v>
      </c>
      <c r="B158" s="352">
        <f t="shared" si="89"/>
        <v>8.9124999999999996</v>
      </c>
      <c r="C158" s="325">
        <f t="shared" si="62"/>
        <v>19.009648844798065</v>
      </c>
      <c r="D158" s="326">
        <f t="shared" si="63"/>
        <v>1.5181671701276478</v>
      </c>
      <c r="E158" s="326">
        <f t="shared" si="64"/>
        <v>1.0002508385854176</v>
      </c>
      <c r="F158" s="327">
        <f t="shared" si="65"/>
        <v>2.2395810470196589E-2</v>
      </c>
      <c r="G158" s="326">
        <f t="shared" si="66"/>
        <v>1</v>
      </c>
      <c r="H158" s="327">
        <f t="shared" si="67"/>
        <v>0</v>
      </c>
      <c r="I158" s="325">
        <f t="shared" si="68"/>
        <v>2940.901998744554</v>
      </c>
      <c r="J158" s="328">
        <f t="shared" si="69"/>
        <v>1.5704562950564378</v>
      </c>
      <c r="K158" s="336">
        <f t="shared" ref="K158:K214" si="94">SQRT(1+(A158/Zero2)^2)</f>
        <v>2.308020904612984</v>
      </c>
      <c r="L158" s="337">
        <f t="shared" ref="L158:L214" si="95">ATAN(A158/Zero2)</f>
        <v>1.122676645199693</v>
      </c>
      <c r="M158" s="325">
        <f t="shared" si="72"/>
        <v>1.0032547624519719</v>
      </c>
      <c r="N158" s="337">
        <f t="shared" si="73"/>
        <v>8.0572439486888789E-2</v>
      </c>
      <c r="O158" s="343">
        <f t="shared" si="74"/>
        <v>1.0013402046226441</v>
      </c>
      <c r="P158" s="691">
        <f t="shared" si="75"/>
        <v>5.1743783048436222E-2</v>
      </c>
      <c r="Q158" s="336">
        <f t="shared" si="90"/>
        <v>4.172093648520522</v>
      </c>
      <c r="R158" s="692">
        <f t="shared" si="76"/>
        <v>8.6655209215440496E-2</v>
      </c>
      <c r="S158" s="329">
        <f t="shared" si="77"/>
        <v>0.99940093854011558</v>
      </c>
      <c r="T158" s="330">
        <f t="shared" si="78"/>
        <v>5.1626171305869072E-2</v>
      </c>
      <c r="U158" s="331">
        <f t="shared" si="79"/>
        <v>14.231095977846696</v>
      </c>
      <c r="V158" s="332">
        <f t="shared" si="80"/>
        <v>-120.93197008380844</v>
      </c>
      <c r="W158" s="334">
        <f t="shared" si="81"/>
        <v>59.068029916191563</v>
      </c>
      <c r="Y158" s="307">
        <f t="shared" si="82"/>
        <v>1000000000</v>
      </c>
      <c r="Z158" s="307">
        <f t="shared" si="83"/>
        <v>79432656.25</v>
      </c>
      <c r="AB158" s="333">
        <f t="shared" si="84"/>
        <v>35.574183511478118</v>
      </c>
      <c r="AC158" s="334">
        <f t="shared" si="85"/>
        <v>-30.272344850900396</v>
      </c>
      <c r="AE158" s="333">
        <f t="shared" si="86"/>
        <v>3.0935601814036633</v>
      </c>
      <c r="AF158" s="334">
        <f t="shared" si="87"/>
        <v>-88.65934785447044</v>
      </c>
      <c r="AH158">
        <f t="shared" si="88"/>
        <v>0</v>
      </c>
      <c r="AI158">
        <f t="shared" si="93"/>
        <v>0</v>
      </c>
    </row>
    <row r="159" spans="1:35" x14ac:dyDescent="0.25">
      <c r="A159" s="335">
        <v>8964.4</v>
      </c>
      <c r="B159" s="352">
        <f t="shared" si="89"/>
        <v>8.9643999999999995</v>
      </c>
      <c r="C159" s="325">
        <f t="shared" si="62"/>
        <v>19.120041940355364</v>
      </c>
      <c r="D159" s="326">
        <f t="shared" si="63"/>
        <v>1.5184713127195695</v>
      </c>
      <c r="E159" s="326">
        <f t="shared" si="64"/>
        <v>1.0002537681274342</v>
      </c>
      <c r="F159" s="327">
        <f t="shared" si="65"/>
        <v>2.2526183601937765E-2</v>
      </c>
      <c r="G159" s="326">
        <f t="shared" si="66"/>
        <v>1</v>
      </c>
      <c r="H159" s="327">
        <f t="shared" si="67"/>
        <v>0</v>
      </c>
      <c r="I159" s="325">
        <f t="shared" si="68"/>
        <v>2958.027698171009</v>
      </c>
      <c r="J159" s="328">
        <f t="shared" si="69"/>
        <v>1.5704582636930311</v>
      </c>
      <c r="K159" s="336">
        <f t="shared" si="94"/>
        <v>2.3189440371756289</v>
      </c>
      <c r="L159" s="337">
        <f t="shared" si="95"/>
        <v>1.1249398801690871</v>
      </c>
      <c r="M159" s="325">
        <f t="shared" si="72"/>
        <v>1.0032927172358979</v>
      </c>
      <c r="N159" s="337">
        <f t="shared" si="73"/>
        <v>8.1039589840086329E-2</v>
      </c>
      <c r="O159" s="343">
        <f t="shared" si="74"/>
        <v>1.001355848250375</v>
      </c>
      <c r="P159" s="691">
        <f t="shared" si="75"/>
        <v>5.204455944010259E-2</v>
      </c>
      <c r="Q159" s="336">
        <f t="shared" si="90"/>
        <v>4.1722746814026719</v>
      </c>
      <c r="R159" s="692">
        <f t="shared" si="76"/>
        <v>8.7157313468601449E-2</v>
      </c>
      <c r="S159" s="329">
        <f t="shared" si="77"/>
        <v>0.99939396113177126</v>
      </c>
      <c r="T159" s="330">
        <f t="shared" si="78"/>
        <v>5.1927437635561395E-2</v>
      </c>
      <c r="U159" s="331">
        <f t="shared" si="79"/>
        <v>14.170894274812447</v>
      </c>
      <c r="V159" s="332">
        <f t="shared" si="80"/>
        <v>-120.86792759278642</v>
      </c>
      <c r="W159" s="334">
        <f t="shared" si="81"/>
        <v>59.132072407213585</v>
      </c>
      <c r="Y159" s="307">
        <f t="shared" si="82"/>
        <v>1000000000</v>
      </c>
      <c r="Z159" s="307">
        <f t="shared" si="83"/>
        <v>80360467.359999999</v>
      </c>
      <c r="AB159" s="333">
        <f t="shared" si="84"/>
        <v>35.56443183889381</v>
      </c>
      <c r="AC159" s="334">
        <f t="shared" si="85"/>
        <v>-30.169549577194697</v>
      </c>
      <c r="AE159" s="333">
        <f t="shared" si="86"/>
        <v>3.0433513395735483</v>
      </c>
      <c r="AF159" s="334">
        <f t="shared" si="87"/>
        <v>-88.686565400378925</v>
      </c>
      <c r="AH159">
        <f t="shared" si="88"/>
        <v>0</v>
      </c>
      <c r="AI159">
        <f t="shared" si="93"/>
        <v>0</v>
      </c>
    </row>
    <row r="160" spans="1:35" x14ac:dyDescent="0.25">
      <c r="A160" s="335">
        <v>9016.2999999999993</v>
      </c>
      <c r="B160" s="352">
        <f t="shared" si="89"/>
        <v>9.0162999999999993</v>
      </c>
      <c r="C160" s="325">
        <f t="shared" si="62"/>
        <v>19.230436784262302</v>
      </c>
      <c r="D160" s="326">
        <f t="shared" si="63"/>
        <v>1.5187719633981787</v>
      </c>
      <c r="E160" s="326">
        <f t="shared" si="64"/>
        <v>1.0002567146708181</v>
      </c>
      <c r="F160" s="327">
        <f t="shared" si="65"/>
        <v>2.2656555967791904E-2</v>
      </c>
      <c r="G160" s="326">
        <f t="shared" si="66"/>
        <v>1</v>
      </c>
      <c r="H160" s="327">
        <f t="shared" si="67"/>
        <v>0</v>
      </c>
      <c r="I160" s="325">
        <f t="shared" si="68"/>
        <v>2975.1533976087958</v>
      </c>
      <c r="J160" s="328">
        <f t="shared" si="69"/>
        <v>1.5704602096657319</v>
      </c>
      <c r="K160" s="336">
        <f t="shared" si="94"/>
        <v>2.3298789364970918</v>
      </c>
      <c r="L160" s="337">
        <f t="shared" si="95"/>
        <v>1.127181882299028</v>
      </c>
      <c r="M160" s="325">
        <f t="shared" si="72"/>
        <v>1.0033308909512513</v>
      </c>
      <c r="N160" s="337">
        <f t="shared" si="73"/>
        <v>8.1506704747890693E-2</v>
      </c>
      <c r="O160" s="343">
        <f t="shared" si="74"/>
        <v>1.0013715824643674</v>
      </c>
      <c r="P160" s="691">
        <f t="shared" si="75"/>
        <v>5.2345326406981536E-2</v>
      </c>
      <c r="Q160" s="336">
        <f t="shared" si="90"/>
        <v>4.1724567575071765</v>
      </c>
      <c r="R160" s="692">
        <f t="shared" si="76"/>
        <v>8.7659374205143817E-2</v>
      </c>
      <c r="S160" s="329">
        <f t="shared" si="77"/>
        <v>0.99938694367410086</v>
      </c>
      <c r="T160" s="330">
        <f t="shared" si="78"/>
        <v>5.2228714984282686E-2</v>
      </c>
      <c r="U160" s="331">
        <f t="shared" si="79"/>
        <v>14.111120868574968</v>
      </c>
      <c r="V160" s="332">
        <f t="shared" si="80"/>
        <v>-120.80489697444916</v>
      </c>
      <c r="W160" s="334">
        <f t="shared" si="81"/>
        <v>59.195103025550836</v>
      </c>
      <c r="Y160" s="307">
        <f t="shared" si="82"/>
        <v>1000000000</v>
      </c>
      <c r="Z160" s="307">
        <f t="shared" si="83"/>
        <v>81293665.689999983</v>
      </c>
      <c r="AB160" s="333">
        <f t="shared" si="84"/>
        <v>35.554820575704824</v>
      </c>
      <c r="AC160" s="334">
        <f t="shared" si="85"/>
        <v>-30.067967526161297</v>
      </c>
      <c r="AE160" s="333">
        <f t="shared" si="86"/>
        <v>2.9934317568655651</v>
      </c>
      <c r="AF160" s="334">
        <f t="shared" si="87"/>
        <v>-88.713583549617894</v>
      </c>
      <c r="AH160">
        <f t="shared" si="88"/>
        <v>0</v>
      </c>
      <c r="AI160">
        <f t="shared" si="93"/>
        <v>0</v>
      </c>
    </row>
    <row r="161" spans="1:35" x14ac:dyDescent="0.25">
      <c r="A161" s="335">
        <v>9068.2000000000007</v>
      </c>
      <c r="B161" s="352">
        <f t="shared" si="89"/>
        <v>9.0682000000000009</v>
      </c>
      <c r="C161" s="325">
        <f t="shared" si="62"/>
        <v>19.340833346580858</v>
      </c>
      <c r="D161" s="326">
        <f t="shared" si="63"/>
        <v>1.519069181903681</v>
      </c>
      <c r="E161" s="326">
        <f t="shared" si="64"/>
        <v>1.0002596782154187</v>
      </c>
      <c r="F161" s="327">
        <f t="shared" si="65"/>
        <v>2.278692756333392E-2</v>
      </c>
      <c r="G161" s="326">
        <f t="shared" si="66"/>
        <v>1</v>
      </c>
      <c r="H161" s="327">
        <f t="shared" si="67"/>
        <v>0</v>
      </c>
      <c r="I161" s="325">
        <f t="shared" si="68"/>
        <v>2992.2790970577212</v>
      </c>
      <c r="J161" s="328">
        <f t="shared" si="69"/>
        <v>1.5704621333636763</v>
      </c>
      <c r="K161" s="336">
        <f t="shared" si="94"/>
        <v>2.340825437676159</v>
      </c>
      <c r="L161" s="337">
        <f t="shared" si="95"/>
        <v>1.129402926767288</v>
      </c>
      <c r="M161" s="325">
        <f t="shared" si="72"/>
        <v>1.0033692835730441</v>
      </c>
      <c r="N161" s="337">
        <f t="shared" si="73"/>
        <v>8.1973784010513681E-2</v>
      </c>
      <c r="O161" s="343">
        <f t="shared" si="74"/>
        <v>1.001387407260351</v>
      </c>
      <c r="P161" s="691">
        <f t="shared" si="75"/>
        <v>5.2646083895103397E-2</v>
      </c>
      <c r="Q161" s="336">
        <f t="shared" si="90"/>
        <v>4.1726398766974793</v>
      </c>
      <c r="R161" s="692">
        <f t="shared" si="76"/>
        <v>8.8161391180764354E-2</v>
      </c>
      <c r="S161" s="329">
        <f t="shared" si="77"/>
        <v>0.99937988617517581</v>
      </c>
      <c r="T161" s="330">
        <f t="shared" si="78"/>
        <v>5.2530003415828405E-2</v>
      </c>
      <c r="U161" s="331">
        <f t="shared" si="79"/>
        <v>14.051769706048304</v>
      </c>
      <c r="V161" s="332">
        <f t="shared" si="80"/>
        <v>-120.74286588898555</v>
      </c>
      <c r="W161" s="334">
        <f t="shared" si="81"/>
        <v>59.257134111014452</v>
      </c>
      <c r="Y161" s="307">
        <f t="shared" si="82"/>
        <v>1000000000</v>
      </c>
      <c r="Z161" s="307">
        <f t="shared" si="83"/>
        <v>82232251.24000001</v>
      </c>
      <c r="AB161" s="333">
        <f t="shared" si="84"/>
        <v>35.54534695632163</v>
      </c>
      <c r="AC161" s="334">
        <f t="shared" si="85"/>
        <v>-29.967582942124068</v>
      </c>
      <c r="AE161" s="333">
        <f t="shared" si="86"/>
        <v>2.9437981452901503</v>
      </c>
      <c r="AF161" s="334">
        <f t="shared" si="87"/>
        <v>-88.740405728957754</v>
      </c>
      <c r="AH161">
        <f t="shared" si="88"/>
        <v>0</v>
      </c>
      <c r="AI161">
        <f t="shared" si="93"/>
        <v>0</v>
      </c>
    </row>
    <row r="162" spans="1:35" x14ac:dyDescent="0.25">
      <c r="A162" s="335">
        <v>9120.1</v>
      </c>
      <c r="B162" s="352">
        <f t="shared" si="89"/>
        <v>9.1201000000000008</v>
      </c>
      <c r="C162" s="325">
        <f t="shared" si="62"/>
        <v>19.451231598052203</v>
      </c>
      <c r="D162" s="326">
        <f t="shared" si="63"/>
        <v>1.5193630266224827</v>
      </c>
      <c r="E162" s="326">
        <f t="shared" si="64"/>
        <v>1.000262658761085</v>
      </c>
      <c r="F162" s="327">
        <f t="shared" si="65"/>
        <v>2.2917298384138887E-2</v>
      </c>
      <c r="G162" s="326">
        <f t="shared" si="66"/>
        <v>1</v>
      </c>
      <c r="H162" s="327">
        <f t="shared" si="67"/>
        <v>0</v>
      </c>
      <c r="I162" s="325">
        <f t="shared" si="68"/>
        <v>3009.4047965175928</v>
      </c>
      <c r="J162" s="328">
        <f t="shared" si="69"/>
        <v>1.5704640351671435</v>
      </c>
      <c r="K162" s="336">
        <f t="shared" si="94"/>
        <v>2.3517833787084412</v>
      </c>
      <c r="L162" s="337">
        <f t="shared" si="95"/>
        <v>1.131603284458216</v>
      </c>
      <c r="M162" s="325">
        <f t="shared" si="72"/>
        <v>1.0034078950761487</v>
      </c>
      <c r="N162" s="337">
        <f t="shared" si="73"/>
        <v>8.2440827428259741E-2</v>
      </c>
      <c r="O162" s="343">
        <f t="shared" si="74"/>
        <v>1.001403322634032</v>
      </c>
      <c r="P162" s="691">
        <f t="shared" si="75"/>
        <v>5.294683185050874E-2</v>
      </c>
      <c r="Q162" s="336">
        <f t="shared" si="90"/>
        <v>4.1728240388362678</v>
      </c>
      <c r="R162" s="692">
        <f t="shared" si="76"/>
        <v>8.86633641512901E-2</v>
      </c>
      <c r="S162" s="329">
        <f t="shared" si="77"/>
        <v>0.99937278864311396</v>
      </c>
      <c r="T162" s="330">
        <f t="shared" si="78"/>
        <v>5.2831302993993946E-2</v>
      </c>
      <c r="U162" s="331">
        <f t="shared" si="79"/>
        <v>13.992834854764221</v>
      </c>
      <c r="V162" s="332">
        <f t="shared" si="80"/>
        <v>-120.68182216451744</v>
      </c>
      <c r="W162" s="334">
        <f t="shared" si="81"/>
        <v>59.318177835482558</v>
      </c>
      <c r="Y162" s="307">
        <f t="shared" si="82"/>
        <v>1000000000</v>
      </c>
      <c r="Z162" s="307">
        <f t="shared" si="83"/>
        <v>83176224.010000005</v>
      </c>
      <c r="AB162" s="333">
        <f t="shared" si="84"/>
        <v>35.536008280084381</v>
      </c>
      <c r="AC162" s="334">
        <f t="shared" si="85"/>
        <v>-29.868380314899735</v>
      </c>
      <c r="AE162" s="333">
        <f t="shared" si="86"/>
        <v>2.8944472725431085</v>
      </c>
      <c r="AF162" s="334">
        <f t="shared" si="87"/>
        <v>-88.7670352876019</v>
      </c>
      <c r="AH162">
        <f t="shared" si="88"/>
        <v>0</v>
      </c>
      <c r="AI162">
        <f t="shared" si="93"/>
        <v>0</v>
      </c>
    </row>
    <row r="163" spans="1:35" x14ac:dyDescent="0.25">
      <c r="A163" s="335">
        <v>9173.2000000000007</v>
      </c>
      <c r="B163" s="352">
        <f t="shared" si="89"/>
        <v>9.1732000000000014</v>
      </c>
      <c r="C163" s="325">
        <f t="shared" si="62"/>
        <v>19.564184128616333</v>
      </c>
      <c r="D163" s="326">
        <f t="shared" si="63"/>
        <v>1.5196602332531381</v>
      </c>
      <c r="E163" s="326">
        <f t="shared" si="64"/>
        <v>1.0002657258161858</v>
      </c>
      <c r="F163" s="327">
        <f t="shared" si="65"/>
        <v>2.3050682752753796E-2</v>
      </c>
      <c r="G163" s="326">
        <f t="shared" si="66"/>
        <v>1</v>
      </c>
      <c r="H163" s="327">
        <f t="shared" si="67"/>
        <v>0</v>
      </c>
      <c r="I163" s="325">
        <f t="shared" si="68"/>
        <v>3026.9264659183086</v>
      </c>
      <c r="J163" s="328">
        <f t="shared" si="69"/>
        <v>1.570465958670844</v>
      </c>
      <c r="K163" s="336">
        <f t="shared" si="94"/>
        <v>2.3630063562258359</v>
      </c>
      <c r="L163" s="337">
        <f t="shared" si="95"/>
        <v>1.133833385788851</v>
      </c>
      <c r="M163" s="325">
        <f t="shared" si="72"/>
        <v>1.0034476258354956</v>
      </c>
      <c r="N163" s="337">
        <f t="shared" si="73"/>
        <v>8.2918632231942596E-2</v>
      </c>
      <c r="O163" s="343">
        <f t="shared" si="74"/>
        <v>1.0014196997320586</v>
      </c>
      <c r="P163" s="691">
        <f t="shared" si="75"/>
        <v>5.3254523593721757E-2</v>
      </c>
      <c r="Q163" s="336">
        <f t="shared" si="90"/>
        <v>4.1730135383140725</v>
      </c>
      <c r="R163" s="692">
        <f t="shared" si="76"/>
        <v>8.9176897635710642E-2</v>
      </c>
      <c r="S163" s="329">
        <f t="shared" si="77"/>
        <v>0.99936548558251037</v>
      </c>
      <c r="T163" s="330">
        <f t="shared" si="78"/>
        <v>5.3139580639115655E-2</v>
      </c>
      <c r="U163" s="331">
        <f t="shared" si="79"/>
        <v>13.932962145243156</v>
      </c>
      <c r="V163" s="332">
        <f t="shared" si="80"/>
        <v>-120.62037637284909</v>
      </c>
      <c r="W163" s="334">
        <f t="shared" si="81"/>
        <v>59.379623627150906</v>
      </c>
      <c r="Y163" s="307">
        <f t="shared" si="82"/>
        <v>1000000000</v>
      </c>
      <c r="Z163" s="307">
        <f t="shared" si="83"/>
        <v>84147598.24000001</v>
      </c>
      <c r="AB163" s="333">
        <f t="shared" si="84"/>
        <v>35.526590589680247</v>
      </c>
      <c r="AC163" s="334">
        <f t="shared" si="85"/>
        <v>-29.76809132797927</v>
      </c>
      <c r="AE163" s="333">
        <f t="shared" si="86"/>
        <v>2.8442446455734913</v>
      </c>
      <c r="AF163" s="334">
        <f t="shared" si="87"/>
        <v>-88.794084619821717</v>
      </c>
      <c r="AH163">
        <f t="shared" si="88"/>
        <v>0</v>
      </c>
      <c r="AI163">
        <f t="shared" si="93"/>
        <v>0</v>
      </c>
    </row>
    <row r="164" spans="1:35" x14ac:dyDescent="0.25">
      <c r="A164" s="335">
        <v>9226.2999999999993</v>
      </c>
      <c r="B164" s="352">
        <f t="shared" si="89"/>
        <v>9.2262999999999984</v>
      </c>
      <c r="C164" s="325">
        <f t="shared" si="62"/>
        <v>19.677138367479554</v>
      </c>
      <c r="D164" s="326">
        <f t="shared" si="63"/>
        <v>1.5199540277518835</v>
      </c>
      <c r="E164" s="326">
        <f t="shared" si="64"/>
        <v>1.0002688106672948</v>
      </c>
      <c r="F164" s="327">
        <f t="shared" si="65"/>
        <v>2.3184066301021086E-2</v>
      </c>
      <c r="G164" s="326">
        <f t="shared" si="66"/>
        <v>1</v>
      </c>
      <c r="H164" s="327">
        <f t="shared" si="67"/>
        <v>0</v>
      </c>
      <c r="I164" s="325">
        <f t="shared" si="68"/>
        <v>3044.4481353300939</v>
      </c>
      <c r="J164" s="328">
        <f t="shared" si="69"/>
        <v>1.5704678600339173</v>
      </c>
      <c r="K164" s="336">
        <f t="shared" si="94"/>
        <v>2.3742409746681736</v>
      </c>
      <c r="L164" s="337">
        <f t="shared" si="95"/>
        <v>1.136042392884731</v>
      </c>
      <c r="M164" s="325">
        <f t="shared" si="72"/>
        <v>1.0034875856611867</v>
      </c>
      <c r="N164" s="337">
        <f t="shared" si="73"/>
        <v>8.3396399091411902E-2</v>
      </c>
      <c r="O164" s="343">
        <f t="shared" si="74"/>
        <v>1.0014361716355971</v>
      </c>
      <c r="P164" s="691">
        <f t="shared" si="75"/>
        <v>5.3562205244062994E-2</v>
      </c>
      <c r="Q164" s="336">
        <f t="shared" si="90"/>
        <v>4.1732041292335262</v>
      </c>
      <c r="R164" s="692">
        <f t="shared" si="76"/>
        <v>8.9690384539915069E-2</v>
      </c>
      <c r="S164" s="329">
        <f t="shared" si="77"/>
        <v>0.9993581406334674</v>
      </c>
      <c r="T164" s="330">
        <f t="shared" si="78"/>
        <v>5.3447870087369884E-2</v>
      </c>
      <c r="U164" s="331">
        <f t="shared" si="79"/>
        <v>13.873513031105409</v>
      </c>
      <c r="V164" s="332">
        <f t="shared" si="80"/>
        <v>-120.55993888114132</v>
      </c>
      <c r="W164" s="334">
        <f t="shared" si="81"/>
        <v>59.440061118858679</v>
      </c>
      <c r="Y164" s="307">
        <f t="shared" si="82"/>
        <v>1000000000</v>
      </c>
      <c r="Z164" s="307">
        <f t="shared" si="83"/>
        <v>85124611.689999983</v>
      </c>
      <c r="AB164" s="333">
        <f t="shared" si="84"/>
        <v>35.517308635928245</v>
      </c>
      <c r="AC164" s="334">
        <f t="shared" si="85"/>
        <v>-29.669007509075904</v>
      </c>
      <c r="AE164" s="333">
        <f t="shared" si="86"/>
        <v>2.7943313111274377</v>
      </c>
      <c r="AF164" s="334">
        <f t="shared" si="87"/>
        <v>-88.820939174555875</v>
      </c>
      <c r="AH164">
        <f t="shared" si="88"/>
        <v>0</v>
      </c>
      <c r="AI164">
        <f t="shared" si="93"/>
        <v>0</v>
      </c>
    </row>
    <row r="165" spans="1:35" x14ac:dyDescent="0.25">
      <c r="A165" s="335">
        <v>9279.4</v>
      </c>
      <c r="B165" s="352">
        <f t="shared" si="89"/>
        <v>9.279399999999999</v>
      </c>
      <c r="C165" s="325">
        <f t="shared" si="62"/>
        <v>19.790094285390936</v>
      </c>
      <c r="D165" s="326">
        <f t="shared" si="63"/>
        <v>1.5202444684938354</v>
      </c>
      <c r="E165" s="326">
        <f t="shared" si="64"/>
        <v>1.000271913314247</v>
      </c>
      <c r="F165" s="327">
        <f t="shared" si="65"/>
        <v>2.331744902420229E-2</v>
      </c>
      <c r="G165" s="326">
        <f t="shared" si="66"/>
        <v>1</v>
      </c>
      <c r="H165" s="327">
        <f t="shared" si="67"/>
        <v>0</v>
      </c>
      <c r="I165" s="325">
        <f t="shared" si="68"/>
        <v>3061.9698047527604</v>
      </c>
      <c r="J165" s="328">
        <f t="shared" si="69"/>
        <v>1.5704697396364522</v>
      </c>
      <c r="K165" s="336">
        <f t="shared" si="94"/>
        <v>2.3854870695642068</v>
      </c>
      <c r="L165" s="337">
        <f t="shared" si="95"/>
        <v>1.138230582372519</v>
      </c>
      <c r="M165" s="325">
        <f t="shared" si="72"/>
        <v>1.0035277745258575</v>
      </c>
      <c r="N165" s="337">
        <f t="shared" si="73"/>
        <v>8.3874127793102271E-2</v>
      </c>
      <c r="O165" s="343">
        <f t="shared" si="74"/>
        <v>1.001452738339969</v>
      </c>
      <c r="P165" s="691">
        <f t="shared" si="75"/>
        <v>5.3869876743776711E-2</v>
      </c>
      <c r="Q165" s="336">
        <f t="shared" si="90"/>
        <v>4.1733958114451051</v>
      </c>
      <c r="R165" s="692">
        <f t="shared" si="76"/>
        <v>9.0203824602826929E-2</v>
      </c>
      <c r="S165" s="329">
        <f t="shared" si="77"/>
        <v>0.99935075380483196</v>
      </c>
      <c r="T165" s="330">
        <f t="shared" si="78"/>
        <v>5.3756171407080167E-2</v>
      </c>
      <c r="U165" s="331">
        <f t="shared" si="79"/>
        <v>13.814481531422128</v>
      </c>
      <c r="V165" s="332">
        <f t="shared" si="80"/>
        <v>-120.50049718657944</v>
      </c>
      <c r="W165" s="334">
        <f t="shared" si="81"/>
        <v>59.499502813420563</v>
      </c>
      <c r="Y165" s="307">
        <f t="shared" si="82"/>
        <v>1000000000</v>
      </c>
      <c r="Z165" s="307">
        <f t="shared" si="83"/>
        <v>86107264.359999999</v>
      </c>
      <c r="AB165" s="333">
        <f t="shared" si="84"/>
        <v>35.508159726142374</v>
      </c>
      <c r="AC165" s="334">
        <f t="shared" si="85"/>
        <v>-29.571113018190438</v>
      </c>
      <c r="AE165" s="333">
        <f t="shared" si="86"/>
        <v>2.7447039804223481</v>
      </c>
      <c r="AF165" s="334">
        <f t="shared" si="87"/>
        <v>-88.8476023006383</v>
      </c>
      <c r="AH165">
        <f t="shared" si="88"/>
        <v>0</v>
      </c>
      <c r="AI165">
        <f t="shared" si="93"/>
        <v>0</v>
      </c>
    </row>
    <row r="166" spans="1:35" x14ac:dyDescent="0.25">
      <c r="A166" s="335">
        <v>9332.5</v>
      </c>
      <c r="B166" s="352">
        <f t="shared" si="89"/>
        <v>9.3324999999999996</v>
      </c>
      <c r="C166" s="325">
        <f t="shared" si="62"/>
        <v>19.903051853763134</v>
      </c>
      <c r="D166" s="326">
        <f t="shared" si="63"/>
        <v>1.5205316125311983</v>
      </c>
      <c r="E166" s="326">
        <f t="shared" si="64"/>
        <v>1.0002750337568773</v>
      </c>
      <c r="F166" s="327">
        <f t="shared" si="65"/>
        <v>2.3450830917559076E-2</v>
      </c>
      <c r="G166" s="326">
        <f t="shared" si="66"/>
        <v>1</v>
      </c>
      <c r="H166" s="327">
        <f t="shared" si="67"/>
        <v>0</v>
      </c>
      <c r="I166" s="325">
        <f t="shared" si="68"/>
        <v>3079.4914741861216</v>
      </c>
      <c r="J166" s="328">
        <f t="shared" si="69"/>
        <v>1.5704715978498882</v>
      </c>
      <c r="K166" s="336">
        <f t="shared" si="94"/>
        <v>2.3967444793631927</v>
      </c>
      <c r="L166" s="337">
        <f t="shared" si="95"/>
        <v>1.1403982264870618</v>
      </c>
      <c r="M166" s="325">
        <f t="shared" si="72"/>
        <v>1.0035681924019924</v>
      </c>
      <c r="N166" s="337">
        <f t="shared" si="73"/>
        <v>8.4351818123552039E-2</v>
      </c>
      <c r="O166" s="343">
        <f t="shared" si="74"/>
        <v>1.0014693998404696</v>
      </c>
      <c r="P166" s="691">
        <f t="shared" si="75"/>
        <v>5.4177538035118662E-2</v>
      </c>
      <c r="Q166" s="336">
        <f t="shared" si="90"/>
        <v>4.17358858479846</v>
      </c>
      <c r="R166" s="692">
        <f t="shared" si="76"/>
        <v>9.0717217563515501E-2</v>
      </c>
      <c r="S166" s="329">
        <f t="shared" si="77"/>
        <v>0.99934332510550195</v>
      </c>
      <c r="T166" s="330">
        <f t="shared" si="78"/>
        <v>5.4064484666569955E-2</v>
      </c>
      <c r="U166" s="331">
        <f t="shared" si="79"/>
        <v>13.755861784652694</v>
      </c>
      <c r="V166" s="332">
        <f t="shared" si="80"/>
        <v>-120.44203896170212</v>
      </c>
      <c r="W166" s="334">
        <f t="shared" si="81"/>
        <v>59.557961038297876</v>
      </c>
      <c r="Y166" s="307">
        <f t="shared" si="82"/>
        <v>1000000000</v>
      </c>
      <c r="Z166" s="307">
        <f t="shared" si="83"/>
        <v>87095556.25</v>
      </c>
      <c r="AB166" s="333">
        <f t="shared" si="84"/>
        <v>35.499141231305053</v>
      </c>
      <c r="AC166" s="334">
        <f t="shared" si="85"/>
        <v>-29.474392266466538</v>
      </c>
      <c r="AE166" s="333">
        <f t="shared" si="86"/>
        <v>2.6953594203925357</v>
      </c>
      <c r="AF166" s="334">
        <f t="shared" si="87"/>
        <v>-88.874077271105662</v>
      </c>
      <c r="AH166">
        <f t="shared" si="88"/>
        <v>0</v>
      </c>
      <c r="AI166">
        <f t="shared" si="93"/>
        <v>0</v>
      </c>
    </row>
    <row r="167" spans="1:35" x14ac:dyDescent="0.25">
      <c r="A167" s="335">
        <v>9386.85</v>
      </c>
      <c r="B167" s="352">
        <f t="shared" si="89"/>
        <v>9.3868500000000008</v>
      </c>
      <c r="C167" s="325">
        <f t="shared" si="62"/>
        <v>20.018670178640676</v>
      </c>
      <c r="D167" s="326">
        <f t="shared" si="63"/>
        <v>1.520822160249284</v>
      </c>
      <c r="E167" s="326">
        <f t="shared" si="64"/>
        <v>1.0002782460850683</v>
      </c>
      <c r="F167" s="327">
        <f t="shared" si="65"/>
        <v>2.3587351821693584E-2</v>
      </c>
      <c r="G167" s="326">
        <f t="shared" si="66"/>
        <v>1</v>
      </c>
      <c r="H167" s="327">
        <f t="shared" si="67"/>
        <v>0</v>
      </c>
      <c r="I167" s="325">
        <f t="shared" si="68"/>
        <v>3097.4256123081782</v>
      </c>
      <c r="J167" s="328">
        <f t="shared" si="69"/>
        <v>1.5704734780351401</v>
      </c>
      <c r="K167" s="336">
        <f t="shared" si="94"/>
        <v>2.4082784460660336</v>
      </c>
      <c r="L167" s="337">
        <f t="shared" si="95"/>
        <v>1.1425959010719766</v>
      </c>
      <c r="M167" s="325">
        <f t="shared" si="72"/>
        <v>1.0036097988673234</v>
      </c>
      <c r="N167" s="337">
        <f t="shared" si="73"/>
        <v>8.4840713558805514E-2</v>
      </c>
      <c r="O167" s="343">
        <f t="shared" si="74"/>
        <v>1.0014865517256277</v>
      </c>
      <c r="P167" s="691">
        <f t="shared" si="75"/>
        <v>5.4492431191981036E-2</v>
      </c>
      <c r="Q167" s="336">
        <f t="shared" si="90"/>
        <v>4.1737870259462717</v>
      </c>
      <c r="R167" s="692">
        <f t="shared" si="76"/>
        <v>9.124264699520615E-2</v>
      </c>
      <c r="S167" s="329">
        <f t="shared" si="77"/>
        <v>0.99933567817951252</v>
      </c>
      <c r="T167" s="330">
        <f t="shared" si="78"/>
        <v>5.4380068207151536E-2</v>
      </c>
      <c r="U167" s="331">
        <f t="shared" si="79"/>
        <v>13.696282511050654</v>
      </c>
      <c r="V167" s="332">
        <f t="shared" si="80"/>
        <v>-120.38321038623148</v>
      </c>
      <c r="W167" s="334">
        <f t="shared" si="81"/>
        <v>59.616789613768518</v>
      </c>
      <c r="Y167" s="307">
        <f t="shared" si="82"/>
        <v>1000000000</v>
      </c>
      <c r="Z167" s="307">
        <f t="shared" si="83"/>
        <v>88112952.922499999</v>
      </c>
      <c r="AB167" s="333">
        <f t="shared" si="84"/>
        <v>35.490042813872577</v>
      </c>
      <c r="AC167" s="334">
        <f t="shared" si="85"/>
        <v>-29.376594159638881</v>
      </c>
      <c r="AE167" s="333">
        <f t="shared" si="86"/>
        <v>2.6451427819058857</v>
      </c>
      <c r="AF167" s="334">
        <f t="shared" si="87"/>
        <v>-88.900983962466782</v>
      </c>
      <c r="AH167">
        <f t="shared" si="88"/>
        <v>0</v>
      </c>
      <c r="AI167">
        <f t="shared" si="93"/>
        <v>0</v>
      </c>
    </row>
    <row r="168" spans="1:35" x14ac:dyDescent="0.25">
      <c r="A168" s="335">
        <v>9441.2000000000007</v>
      </c>
      <c r="B168" s="352">
        <f t="shared" si="89"/>
        <v>9.4412000000000003</v>
      </c>
      <c r="C168" s="325">
        <f t="shared" si="62"/>
        <v>20.134290174045326</v>
      </c>
      <c r="D168" s="326">
        <f t="shared" si="63"/>
        <v>1.5211093710844912</v>
      </c>
      <c r="E168" s="326">
        <f t="shared" si="64"/>
        <v>1.0002814770562825</v>
      </c>
      <c r="F168" s="327">
        <f t="shared" si="65"/>
        <v>2.3723871846430555E-2</v>
      </c>
      <c r="G168" s="326">
        <f t="shared" si="66"/>
        <v>1</v>
      </c>
      <c r="H168" s="327">
        <f t="shared" si="67"/>
        <v>0</v>
      </c>
      <c r="I168" s="325">
        <f t="shared" si="68"/>
        <v>3115.3597504410582</v>
      </c>
      <c r="J168" s="328">
        <f t="shared" si="69"/>
        <v>1.5704753365731314</v>
      </c>
      <c r="K168" s="336">
        <f t="shared" si="94"/>
        <v>2.419823933294579</v>
      </c>
      <c r="L168" s="337">
        <f t="shared" si="95"/>
        <v>1.1447726149542825</v>
      </c>
      <c r="M168" s="325">
        <f t="shared" si="72"/>
        <v>1.0036516451942885</v>
      </c>
      <c r="N168" s="337">
        <f t="shared" si="73"/>
        <v>8.5329568342810455E-2</v>
      </c>
      <c r="O168" s="343">
        <f t="shared" si="74"/>
        <v>1.0015038029124819</v>
      </c>
      <c r="P168" s="691">
        <f t="shared" si="75"/>
        <v>5.4807313531817774E-2</v>
      </c>
      <c r="Q168" s="336">
        <f t="shared" si="90"/>
        <v>4.1739866098911564</v>
      </c>
      <c r="R168" s="692">
        <f t="shared" si="76"/>
        <v>9.1768026528268695E-2</v>
      </c>
      <c r="S168" s="329">
        <f t="shared" si="77"/>
        <v>0.99932798740734086</v>
      </c>
      <c r="T168" s="330">
        <f t="shared" si="78"/>
        <v>5.4695664401106604E-2</v>
      </c>
      <c r="U168" s="331">
        <f t="shared" si="79"/>
        <v>13.637122548503607</v>
      </c>
      <c r="V168" s="332">
        <f t="shared" si="80"/>
        <v>-120.32538654796952</v>
      </c>
      <c r="W168" s="334">
        <f t="shared" si="81"/>
        <v>59.674613452030485</v>
      </c>
      <c r="Y168" s="307">
        <f t="shared" si="82"/>
        <v>1000000000</v>
      </c>
      <c r="Z168" s="307">
        <f t="shared" si="83"/>
        <v>89136257.440000013</v>
      </c>
      <c r="AB168" s="333">
        <f t="shared" si="84"/>
        <v>35.481075647224742</v>
      </c>
      <c r="AC168" s="334">
        <f t="shared" si="85"/>
        <v>-29.279993443166052</v>
      </c>
      <c r="AE168" s="333">
        <f t="shared" si="86"/>
        <v>2.5952157034871122</v>
      </c>
      <c r="AF168" s="334">
        <f t="shared" si="87"/>
        <v>-88.927700239892673</v>
      </c>
      <c r="AH168">
        <f t="shared" si="88"/>
        <v>0</v>
      </c>
      <c r="AI168">
        <f t="shared" si="93"/>
        <v>0</v>
      </c>
    </row>
    <row r="169" spans="1:35" x14ac:dyDescent="0.25">
      <c r="A169" s="335">
        <v>9495.5499999999993</v>
      </c>
      <c r="B169" s="352">
        <f t="shared" si="89"/>
        <v>9.4955499999999997</v>
      </c>
      <c r="C169" s="325">
        <f t="shared" si="62"/>
        <v>20.249911811362686</v>
      </c>
      <c r="D169" s="326">
        <f t="shared" si="63"/>
        <v>1.5213933021471797</v>
      </c>
      <c r="E169" s="326">
        <f t="shared" si="64"/>
        <v>1.0002847266703394</v>
      </c>
      <c r="F169" s="327">
        <f t="shared" si="65"/>
        <v>2.386039098668969E-2</v>
      </c>
      <c r="G169" s="326">
        <f t="shared" si="66"/>
        <v>1</v>
      </c>
      <c r="H169" s="327">
        <f t="shared" si="67"/>
        <v>0</v>
      </c>
      <c r="I169" s="325">
        <f t="shared" si="68"/>
        <v>3133.2938885845761</v>
      </c>
      <c r="J169" s="328">
        <f t="shared" si="69"/>
        <v>1.5704771738355716</v>
      </c>
      <c r="K169" s="336">
        <f t="shared" si="94"/>
        <v>2.4313807769321114</v>
      </c>
      <c r="L169" s="337">
        <f t="shared" si="95"/>
        <v>1.1469286462503476</v>
      </c>
      <c r="M169" s="325">
        <f t="shared" si="72"/>
        <v>1.0036937313528866</v>
      </c>
      <c r="N169" s="337">
        <f t="shared" si="73"/>
        <v>8.5818382247014033E-2</v>
      </c>
      <c r="O169" s="343">
        <f t="shared" si="74"/>
        <v>1.0015211533959008</v>
      </c>
      <c r="P169" s="691">
        <f t="shared" si="75"/>
        <v>5.5122184992747729E-2</v>
      </c>
      <c r="Q169" s="336">
        <f t="shared" si="90"/>
        <v>4.1741873364691982</v>
      </c>
      <c r="R169" s="692">
        <f t="shared" si="76"/>
        <v>9.2293355883387579E-2</v>
      </c>
      <c r="S169" s="329">
        <f t="shared" si="77"/>
        <v>0.99932025279869563</v>
      </c>
      <c r="T169" s="330">
        <f t="shared" si="78"/>
        <v>5.5011273321698008E-2</v>
      </c>
      <c r="U169" s="331">
        <f t="shared" si="79"/>
        <v>13.578375980982981</v>
      </c>
      <c r="V169" s="332">
        <f t="shared" si="80"/>
        <v>-120.26855478443771</v>
      </c>
      <c r="W169" s="334">
        <f t="shared" si="81"/>
        <v>59.731445215562289</v>
      </c>
      <c r="Y169" s="307">
        <f t="shared" si="82"/>
        <v>1000000000</v>
      </c>
      <c r="Z169" s="307">
        <f t="shared" si="83"/>
        <v>90165469.80249998</v>
      </c>
      <c r="AB169" s="333">
        <f t="shared" si="84"/>
        <v>35.472237108254923</v>
      </c>
      <c r="AC169" s="334">
        <f t="shared" si="85"/>
        <v>-29.184574190356226</v>
      </c>
      <c r="AE169" s="333">
        <f t="shared" si="86"/>
        <v>2.5455748916228633</v>
      </c>
      <c r="AF169" s="334">
        <f t="shared" si="87"/>
        <v>-88.95422938005467</v>
      </c>
      <c r="AH169">
        <f t="shared" si="88"/>
        <v>0</v>
      </c>
      <c r="AI169">
        <f t="shared" si="93"/>
        <v>0</v>
      </c>
    </row>
    <row r="170" spans="1:35" x14ac:dyDescent="0.25">
      <c r="A170" s="335">
        <v>9549.9</v>
      </c>
      <c r="B170" s="352">
        <f t="shared" si="89"/>
        <v>9.5498999999999992</v>
      </c>
      <c r="C170" s="325">
        <f t="shared" si="62"/>
        <v>20.365535062627778</v>
      </c>
      <c r="D170" s="326">
        <f t="shared" si="63"/>
        <v>1.5216740092528995</v>
      </c>
      <c r="E170" s="326">
        <f t="shared" si="64"/>
        <v>1.0002879949270569</v>
      </c>
      <c r="F170" s="327">
        <f t="shared" si="65"/>
        <v>2.3996909237390899E-2</v>
      </c>
      <c r="G170" s="326">
        <f t="shared" si="66"/>
        <v>1</v>
      </c>
      <c r="H170" s="327">
        <f t="shared" si="67"/>
        <v>0</v>
      </c>
      <c r="I170" s="325">
        <f t="shared" si="68"/>
        <v>3151.2280267385495</v>
      </c>
      <c r="J170" s="328">
        <f t="shared" si="69"/>
        <v>1.5704789901857086</v>
      </c>
      <c r="K170" s="336">
        <f t="shared" si="94"/>
        <v>2.4429488158075445</v>
      </c>
      <c r="L170" s="337">
        <f t="shared" si="95"/>
        <v>1.1490642685856296</v>
      </c>
      <c r="M170" s="325">
        <f t="shared" si="72"/>
        <v>1.0037360573129497</v>
      </c>
      <c r="N170" s="337">
        <f t="shared" si="73"/>
        <v>8.6307155042979783E-2</v>
      </c>
      <c r="O170" s="343">
        <f t="shared" si="74"/>
        <v>1.0015386031707236</v>
      </c>
      <c r="P170" s="691">
        <f t="shared" si="75"/>
        <v>5.543704551290269E-2</v>
      </c>
      <c r="Q170" s="336">
        <f t="shared" si="90"/>
        <v>4.174389205515574</v>
      </c>
      <c r="R170" s="692">
        <f t="shared" si="76"/>
        <v>9.2818634781410767E-2</v>
      </c>
      <c r="S170" s="329">
        <f t="shared" si="77"/>
        <v>0.99931247436334181</v>
      </c>
      <c r="T170" s="330">
        <f t="shared" si="78"/>
        <v>5.5326895042188649E-2</v>
      </c>
      <c r="U170" s="331">
        <f t="shared" si="79"/>
        <v>13.520037010776536</v>
      </c>
      <c r="V170" s="332">
        <f t="shared" si="80"/>
        <v>-120.21270261581097</v>
      </c>
      <c r="W170" s="334">
        <f t="shared" si="81"/>
        <v>59.787297384189031</v>
      </c>
      <c r="Y170" s="307">
        <f t="shared" si="82"/>
        <v>1000000000</v>
      </c>
      <c r="Z170" s="307">
        <f t="shared" si="83"/>
        <v>91200590.00999999</v>
      </c>
      <c r="AB170" s="333">
        <f t="shared" si="84"/>
        <v>35.463524636333091</v>
      </c>
      <c r="AC170" s="334">
        <f t="shared" si="85"/>
        <v>-29.090320731349607</v>
      </c>
      <c r="AE170" s="333">
        <f t="shared" si="86"/>
        <v>2.4962171086362863</v>
      </c>
      <c r="AF170" s="334">
        <f t="shared" si="87"/>
        <v>-88.980574585436941</v>
      </c>
      <c r="AH170">
        <f t="shared" si="88"/>
        <v>0</v>
      </c>
      <c r="AI170">
        <f t="shared" si="93"/>
        <v>0</v>
      </c>
    </row>
    <row r="171" spans="1:35" x14ac:dyDescent="0.25">
      <c r="A171" s="335">
        <v>9605.5249999999996</v>
      </c>
      <c r="B171" s="352">
        <f t="shared" si="89"/>
        <v>9.6055250000000001</v>
      </c>
      <c r="C171" s="325">
        <f t="shared" si="62"/>
        <v>20.483872369534613</v>
      </c>
      <c r="D171" s="326">
        <f t="shared" si="63"/>
        <v>1.5219580201195462</v>
      </c>
      <c r="E171" s="326">
        <f t="shared" si="64"/>
        <v>1.0002913591576195</v>
      </c>
      <c r="F171" s="327">
        <f t="shared" si="65"/>
        <v>2.4136629151743774E-2</v>
      </c>
      <c r="G171" s="326">
        <f t="shared" si="66"/>
        <v>1</v>
      </c>
      <c r="H171" s="327">
        <f t="shared" si="67"/>
        <v>0</v>
      </c>
      <c r="I171" s="325">
        <f t="shared" si="68"/>
        <v>3169.5828829555358</v>
      </c>
      <c r="J171" s="328">
        <f t="shared" si="69"/>
        <v>1.570480827862224</v>
      </c>
      <c r="K171" s="336">
        <f t="shared" si="94"/>
        <v>2.4547996571179032</v>
      </c>
      <c r="L171" s="337">
        <f t="shared" si="95"/>
        <v>1.1512291387926821</v>
      </c>
      <c r="M171" s="325">
        <f t="shared" si="72"/>
        <v>1.0037796244743868</v>
      </c>
      <c r="N171" s="337">
        <f t="shared" si="73"/>
        <v>8.680735118573793E-2</v>
      </c>
      <c r="O171" s="343">
        <f t="shared" si="74"/>
        <v>1.001556565108124</v>
      </c>
      <c r="P171" s="691">
        <f t="shared" si="75"/>
        <v>5.5759280972081576E-2</v>
      </c>
      <c r="Q171" s="336">
        <f t="shared" si="90"/>
        <v>4.1745969930319573</v>
      </c>
      <c r="R171" s="692">
        <f t="shared" si="76"/>
        <v>9.3356183691845979E-2</v>
      </c>
      <c r="S171" s="329">
        <f t="shared" si="77"/>
        <v>0.99930446808247519</v>
      </c>
      <c r="T171" s="330">
        <f t="shared" si="78"/>
        <v>5.5649934282360293E-2</v>
      </c>
      <c r="U171" s="331">
        <f t="shared" si="79"/>
        <v>13.460745586104711</v>
      </c>
      <c r="V171" s="332">
        <f t="shared" si="80"/>
        <v>-120.15654170840298</v>
      </c>
      <c r="W171" s="334">
        <f t="shared" si="81"/>
        <v>59.843458291597017</v>
      </c>
      <c r="Y171" s="307">
        <f t="shared" si="82"/>
        <v>1000000000</v>
      </c>
      <c r="Z171" s="307">
        <f t="shared" si="83"/>
        <v>92266110.52562499</v>
      </c>
      <c r="AB171" s="333">
        <f t="shared" si="84"/>
        <v>35.45473570743939</v>
      </c>
      <c r="AC171" s="334">
        <f t="shared" si="85"/>
        <v>-28.995047224200235</v>
      </c>
      <c r="AE171" s="333">
        <f t="shared" si="86"/>
        <v>2.4459911830989411</v>
      </c>
      <c r="AF171" s="334">
        <f t="shared" si="87"/>
        <v>-89.007350633134834</v>
      </c>
      <c r="AH171">
        <f t="shared" si="88"/>
        <v>0</v>
      </c>
      <c r="AI171">
        <f t="shared" si="93"/>
        <v>0</v>
      </c>
    </row>
    <row r="172" spans="1:35" x14ac:dyDescent="0.25">
      <c r="A172" s="335">
        <v>9661.15</v>
      </c>
      <c r="B172" s="352">
        <f t="shared" si="89"/>
        <v>9.6611499999999992</v>
      </c>
      <c r="C172" s="325">
        <f t="shared" si="62"/>
        <v>20.602211309733981</v>
      </c>
      <c r="D172" s="326">
        <f t="shared" si="63"/>
        <v>1.5222387682962406</v>
      </c>
      <c r="E172" s="326">
        <f t="shared" si="64"/>
        <v>1.0002947429153928</v>
      </c>
      <c r="F172" s="327">
        <f t="shared" si="65"/>
        <v>2.4276348123546097E-2</v>
      </c>
      <c r="G172" s="326">
        <f t="shared" si="66"/>
        <v>1</v>
      </c>
      <c r="H172" s="327">
        <f t="shared" si="67"/>
        <v>0</v>
      </c>
      <c r="I172" s="325">
        <f t="shared" si="68"/>
        <v>3187.9377391831022</v>
      </c>
      <c r="J172" s="328">
        <f t="shared" si="69"/>
        <v>1.570482644377543</v>
      </c>
      <c r="K172" s="336">
        <f t="shared" si="94"/>
        <v>2.4666618926681392</v>
      </c>
      <c r="L172" s="337">
        <f t="shared" si="95"/>
        <v>1.1533731971435126</v>
      </c>
      <c r="M172" s="325">
        <f t="shared" si="72"/>
        <v>1.0038234427558166</v>
      </c>
      <c r="N172" s="337">
        <f t="shared" si="73"/>
        <v>8.7307503785116605E-2</v>
      </c>
      <c r="O172" s="343">
        <f t="shared" si="74"/>
        <v>1.0015746310391063</v>
      </c>
      <c r="P172" s="691">
        <f t="shared" si="75"/>
        <v>5.608150484005521E-2</v>
      </c>
      <c r="Q172" s="336">
        <f t="shared" si="90"/>
        <v>4.1748059768956347</v>
      </c>
      <c r="R172" s="692">
        <f t="shared" si="76"/>
        <v>9.3893679158927837E-2</v>
      </c>
      <c r="S172" s="329">
        <f t="shared" si="77"/>
        <v>0.99929641591539253</v>
      </c>
      <c r="T172" s="330">
        <f t="shared" si="78"/>
        <v>5.5972987085303662E-2</v>
      </c>
      <c r="U172" s="331">
        <f t="shared" si="79"/>
        <v>13.401869185298169</v>
      </c>
      <c r="V172" s="332">
        <f t="shared" si="80"/>
        <v>-120.10138102000053</v>
      </c>
      <c r="W172" s="334">
        <f t="shared" si="81"/>
        <v>59.898618979999469</v>
      </c>
      <c r="Y172" s="307">
        <f t="shared" si="82"/>
        <v>1000000000</v>
      </c>
      <c r="Z172" s="307">
        <f t="shared" si="83"/>
        <v>93337819.32249999</v>
      </c>
      <c r="AB172" s="333">
        <f t="shared" si="84"/>
        <v>35.446073595574106</v>
      </c>
      <c r="AC172" s="334">
        <f t="shared" si="85"/>
        <v>-28.900962441278452</v>
      </c>
      <c r="AE172" s="333">
        <f t="shared" si="86"/>
        <v>2.3960550328761467</v>
      </c>
      <c r="AF172" s="334">
        <f t="shared" si="87"/>
        <v>-89.033940573562148</v>
      </c>
      <c r="AH172">
        <f t="shared" si="88"/>
        <v>0</v>
      </c>
      <c r="AI172">
        <f t="shared" si="93"/>
        <v>0</v>
      </c>
    </row>
    <row r="173" spans="1:35" x14ac:dyDescent="0.25">
      <c r="A173" s="335">
        <v>9716.7749999999996</v>
      </c>
      <c r="B173" s="352">
        <f t="shared" si="89"/>
        <v>9.7167750000000002</v>
      </c>
      <c r="C173" s="325">
        <f t="shared" si="62"/>
        <v>20.720551855241769</v>
      </c>
      <c r="D173" s="326">
        <f t="shared" si="63"/>
        <v>1.5225163096405954</v>
      </c>
      <c r="E173" s="326">
        <f t="shared" si="64"/>
        <v>1.0002981462001783</v>
      </c>
      <c r="F173" s="327">
        <f t="shared" si="65"/>
        <v>2.4416066147352453E-2</v>
      </c>
      <c r="G173" s="326">
        <f t="shared" si="66"/>
        <v>1</v>
      </c>
      <c r="H173" s="327">
        <f t="shared" si="67"/>
        <v>0</v>
      </c>
      <c r="I173" s="325">
        <f t="shared" si="68"/>
        <v>3206.2925954210677</v>
      </c>
      <c r="J173" s="328">
        <f t="shared" si="69"/>
        <v>1.5704844400950864</v>
      </c>
      <c r="K173" s="336">
        <f t="shared" si="94"/>
        <v>2.4785353588602383</v>
      </c>
      <c r="L173" s="337">
        <f t="shared" si="95"/>
        <v>1.1554967228817192</v>
      </c>
      <c r="M173" s="325">
        <f t="shared" si="72"/>
        <v>1.0038675121243552</v>
      </c>
      <c r="N173" s="337">
        <f t="shared" si="73"/>
        <v>8.7807612596605231E-2</v>
      </c>
      <c r="O173" s="343">
        <f t="shared" si="74"/>
        <v>1.0015928009580428</v>
      </c>
      <c r="P173" s="691">
        <f t="shared" si="75"/>
        <v>5.6403717050540793E-2</v>
      </c>
      <c r="Q173" s="336">
        <f t="shared" si="90"/>
        <v>4.175016156926965</v>
      </c>
      <c r="R173" s="692">
        <f t="shared" si="76"/>
        <v>9.4431120883931338E-2</v>
      </c>
      <c r="S173" s="329">
        <f t="shared" si="77"/>
        <v>0.99928831787274597</v>
      </c>
      <c r="T173" s="330">
        <f t="shared" si="78"/>
        <v>5.6296053529559346E-2</v>
      </c>
      <c r="U173" s="331">
        <f t="shared" si="79"/>
        <v>13.34340195876287</v>
      </c>
      <c r="V173" s="332">
        <f t="shared" si="80"/>
        <v>-120.04720774983657</v>
      </c>
      <c r="W173" s="334">
        <f t="shared" si="81"/>
        <v>59.952792250163427</v>
      </c>
      <c r="Y173" s="307">
        <f t="shared" si="82"/>
        <v>1000000000</v>
      </c>
      <c r="Z173" s="307">
        <f t="shared" si="83"/>
        <v>94415716.40062499</v>
      </c>
      <c r="AB173" s="333">
        <f t="shared" si="84"/>
        <v>35.43753574780736</v>
      </c>
      <c r="AC173" s="334">
        <f t="shared" si="85"/>
        <v>-28.808050389917678</v>
      </c>
      <c r="AE173" s="333">
        <f t="shared" si="86"/>
        <v>2.3464053606558766</v>
      </c>
      <c r="AF173" s="334">
        <f t="shared" si="87"/>
        <v>-89.060347611936379</v>
      </c>
      <c r="AH173">
        <f t="shared" si="88"/>
        <v>0</v>
      </c>
      <c r="AI173">
        <f t="shared" si="93"/>
        <v>0</v>
      </c>
    </row>
    <row r="174" spans="1:35" x14ac:dyDescent="0.25">
      <c r="A174" s="335">
        <v>9772.4</v>
      </c>
      <c r="B174" s="352">
        <f t="shared" si="89"/>
        <v>9.7723999999999993</v>
      </c>
      <c r="C174" s="325">
        <f t="shared" si="62"/>
        <v>20.838893978709155</v>
      </c>
      <c r="D174" s="326">
        <f t="shared" si="63"/>
        <v>1.5227906987433839</v>
      </c>
      <c r="E174" s="326">
        <f t="shared" si="64"/>
        <v>1.0003015690117776</v>
      </c>
      <c r="F174" s="327">
        <f t="shared" si="65"/>
        <v>2.455578321771763E-2</v>
      </c>
      <c r="G174" s="326">
        <f t="shared" si="66"/>
        <v>1</v>
      </c>
      <c r="H174" s="327">
        <f t="shared" si="67"/>
        <v>0</v>
      </c>
      <c r="I174" s="325">
        <f t="shared" si="68"/>
        <v>3224.6474516692542</v>
      </c>
      <c r="J174" s="328">
        <f t="shared" si="69"/>
        <v>1.5704862153699994</v>
      </c>
      <c r="K174" s="336">
        <f t="shared" si="94"/>
        <v>2.4904198950626846</v>
      </c>
      <c r="L174" s="337">
        <f t="shared" si="95"/>
        <v>1.157599990668877</v>
      </c>
      <c r="M174" s="325">
        <f t="shared" si="72"/>
        <v>1.0039118325469358</v>
      </c>
      <c r="N174" s="337">
        <f t="shared" si="73"/>
        <v>8.8307677375823637E-2</v>
      </c>
      <c r="O174" s="343">
        <f t="shared" si="74"/>
        <v>1.0016110748592748</v>
      </c>
      <c r="P174" s="691">
        <f t="shared" si="75"/>
        <v>5.6725917537269945E-2</v>
      </c>
      <c r="Q174" s="336">
        <f t="shared" si="90"/>
        <v>4.1752275329453159</v>
      </c>
      <c r="R174" s="692">
        <f t="shared" si="76"/>
        <v>9.4968508568314611E-2</v>
      </c>
      <c r="S174" s="329">
        <f t="shared" si="77"/>
        <v>0.99928017396524993</v>
      </c>
      <c r="T174" s="330">
        <f t="shared" si="78"/>
        <v>5.6619133693667854E-2</v>
      </c>
      <c r="U174" s="331">
        <f t="shared" si="79"/>
        <v>13.285338174074317</v>
      </c>
      <c r="V174" s="332">
        <f t="shared" si="80"/>
        <v>-119.99400928663317</v>
      </c>
      <c r="W174" s="334">
        <f t="shared" si="81"/>
        <v>60.005990713366828</v>
      </c>
      <c r="Y174" s="307">
        <f t="shared" si="82"/>
        <v>1000000000</v>
      </c>
      <c r="Z174" s="307">
        <f t="shared" si="83"/>
        <v>95499801.75999999</v>
      </c>
      <c r="AB174" s="333">
        <f t="shared" si="84"/>
        <v>35.429119672440713</v>
      </c>
      <c r="AC174" s="334">
        <f t="shared" si="85"/>
        <v>-28.71629533951522</v>
      </c>
      <c r="AE174" s="333">
        <f t="shared" si="86"/>
        <v>2.2970389250606966</v>
      </c>
      <c r="AF174" s="334">
        <f t="shared" si="87"/>
        <v>-89.086574880890467</v>
      </c>
      <c r="AH174">
        <f t="shared" si="88"/>
        <v>0</v>
      </c>
      <c r="AI174">
        <f t="shared" si="93"/>
        <v>0</v>
      </c>
    </row>
    <row r="175" spans="1:35" x14ac:dyDescent="0.25">
      <c r="A175" s="335">
        <v>9829.2999999999993</v>
      </c>
      <c r="B175" s="352">
        <f t="shared" si="89"/>
        <v>9.8292999999999999</v>
      </c>
      <c r="C175" s="325">
        <f t="shared" si="62"/>
        <v>20.959950267971124</v>
      </c>
      <c r="D175" s="326">
        <f t="shared" si="63"/>
        <v>1.5230681713871657</v>
      </c>
      <c r="E175" s="326">
        <f t="shared" si="64"/>
        <v>1.0003050904819384</v>
      </c>
      <c r="F175" s="327">
        <f t="shared" si="65"/>
        <v>2.4698701799568609E-2</v>
      </c>
      <c r="G175" s="326">
        <f t="shared" si="66"/>
        <v>1</v>
      </c>
      <c r="H175" s="327">
        <f t="shared" si="67"/>
        <v>0</v>
      </c>
      <c r="I175" s="325">
        <f t="shared" si="68"/>
        <v>3243.4230259811648</v>
      </c>
      <c r="J175" s="328">
        <f t="shared" si="69"/>
        <v>1.5704880105475763</v>
      </c>
      <c r="K175" s="336">
        <f t="shared" si="94"/>
        <v>2.5025881299641894</v>
      </c>
      <c r="L175" s="337">
        <f t="shared" si="95"/>
        <v>1.1597307900395835</v>
      </c>
      <c r="M175" s="325">
        <f t="shared" si="72"/>
        <v>1.0039574285704338</v>
      </c>
      <c r="N175" s="337">
        <f t="shared" si="73"/>
        <v>8.881915850162965E-2</v>
      </c>
      <c r="O175" s="343">
        <f t="shared" si="74"/>
        <v>1.0016298752017607</v>
      </c>
      <c r="P175" s="691">
        <f t="shared" si="75"/>
        <v>5.7055491094587144E-2</v>
      </c>
      <c r="Q175" s="336">
        <f t="shared" si="90"/>
        <v>4.1754449912193055</v>
      </c>
      <c r="R175" s="692">
        <f t="shared" si="76"/>
        <v>9.5518157679097604E-2</v>
      </c>
      <c r="S175" s="329">
        <f t="shared" si="77"/>
        <v>0.99927179594582416</v>
      </c>
      <c r="T175" s="330">
        <f t="shared" si="78"/>
        <v>5.694963356780703E-2</v>
      </c>
      <c r="U175" s="331">
        <f t="shared" si="79"/>
        <v>13.22635505152406</v>
      </c>
      <c r="V175" s="332">
        <f t="shared" si="80"/>
        <v>-119.94058706971975</v>
      </c>
      <c r="W175" s="334">
        <f t="shared" si="81"/>
        <v>60.059412930280246</v>
      </c>
      <c r="Y175" s="307">
        <f t="shared" si="82"/>
        <v>1000000000</v>
      </c>
      <c r="Z175" s="307">
        <f t="shared" si="83"/>
        <v>96615138.48999998</v>
      </c>
      <c r="AB175" s="333">
        <f t="shared" si="84"/>
        <v>35.420634145133988</v>
      </c>
      <c r="AC175" s="334">
        <f t="shared" si="85"/>
        <v>-28.623618094386622</v>
      </c>
      <c r="AE175" s="333">
        <f t="shared" si="86"/>
        <v>2.2468306715071202</v>
      </c>
      <c r="AF175" s="334">
        <f t="shared" si="87"/>
        <v>-89.113220508703662</v>
      </c>
      <c r="AH175">
        <f t="shared" si="88"/>
        <v>0</v>
      </c>
      <c r="AI175">
        <f t="shared" si="93"/>
        <v>0</v>
      </c>
    </row>
    <row r="176" spans="1:35" x14ac:dyDescent="0.25">
      <c r="A176" s="335">
        <v>9886.2000000000007</v>
      </c>
      <c r="B176" s="352">
        <f t="shared" si="89"/>
        <v>9.8862000000000005</v>
      </c>
      <c r="C176" s="325">
        <f t="shared" si="62"/>
        <v>21.081008152428517</v>
      </c>
      <c r="D176" s="326">
        <f t="shared" si="63"/>
        <v>1.5233424572734127</v>
      </c>
      <c r="E176" s="326">
        <f t="shared" si="64"/>
        <v>1.0003086323839081</v>
      </c>
      <c r="F176" s="327">
        <f t="shared" si="65"/>
        <v>2.4841619372243922E-2</v>
      </c>
      <c r="G176" s="326">
        <f t="shared" si="66"/>
        <v>1</v>
      </c>
      <c r="H176" s="327">
        <f t="shared" si="67"/>
        <v>0</v>
      </c>
      <c r="I176" s="325">
        <f t="shared" si="68"/>
        <v>3262.1986003034076</v>
      </c>
      <c r="J176" s="328">
        <f t="shared" si="69"/>
        <v>1.5704897850608746</v>
      </c>
      <c r="K176" s="336">
        <f t="shared" si="94"/>
        <v>2.5147676173916964</v>
      </c>
      <c r="L176" s="337">
        <f t="shared" si="95"/>
        <v>1.1618409591984016</v>
      </c>
      <c r="M176" s="325">
        <f t="shared" si="72"/>
        <v>1.0040032872182922</v>
      </c>
      <c r="N176" s="337">
        <f t="shared" si="73"/>
        <v>8.9330593036609798E-2</v>
      </c>
      <c r="O176" s="343">
        <f t="shared" si="74"/>
        <v>1.0016487843359203</v>
      </c>
      <c r="P176" s="691">
        <f t="shared" si="75"/>
        <v>5.7385052244314977E-2</v>
      </c>
      <c r="Q176" s="336">
        <f t="shared" si="90"/>
        <v>4.1756637005504214</v>
      </c>
      <c r="R176" s="692">
        <f t="shared" si="76"/>
        <v>9.6067749612161496E-2</v>
      </c>
      <c r="S176" s="329">
        <f t="shared" si="77"/>
        <v>0.99926336995776099</v>
      </c>
      <c r="T176" s="330">
        <f t="shared" si="78"/>
        <v>5.7280147964210451E-2</v>
      </c>
      <c r="U176" s="331">
        <f t="shared" si="79"/>
        <v>13.167782306397886</v>
      </c>
      <c r="V176" s="332">
        <f t="shared" si="80"/>
        <v>-119.88815876043496</v>
      </c>
      <c r="W176" s="334">
        <f t="shared" si="81"/>
        <v>60.111841239565038</v>
      </c>
      <c r="Y176" s="307">
        <f t="shared" si="82"/>
        <v>1000000000</v>
      </c>
      <c r="Z176" s="307">
        <f t="shared" si="83"/>
        <v>97736950.440000013</v>
      </c>
      <c r="AB176" s="333">
        <f t="shared" si="84"/>
        <v>35.412270951212889</v>
      </c>
      <c r="AC176" s="334">
        <f t="shared" si="85"/>
        <v>-28.532119019897401</v>
      </c>
      <c r="AE176" s="333">
        <f t="shared" si="86"/>
        <v>2.1969121004475469</v>
      </c>
      <c r="AF176" s="334">
        <f t="shared" si="87"/>
        <v>-89.139684438645546</v>
      </c>
      <c r="AH176">
        <f t="shared" si="88"/>
        <v>0</v>
      </c>
      <c r="AI176">
        <f t="shared" si="93"/>
        <v>0</v>
      </c>
    </row>
    <row r="177" spans="1:35" x14ac:dyDescent="0.25">
      <c r="A177" s="335">
        <v>9943.1</v>
      </c>
      <c r="B177" s="352">
        <f t="shared" si="89"/>
        <v>9.9431000000000012</v>
      </c>
      <c r="C177" s="325">
        <f t="shared" si="62"/>
        <v>21.202067604756973</v>
      </c>
      <c r="D177" s="326">
        <f t="shared" si="63"/>
        <v>1.5236136109476901</v>
      </c>
      <c r="E177" s="326">
        <f t="shared" si="64"/>
        <v>1.0003121947174693</v>
      </c>
      <c r="F177" s="327">
        <f t="shared" si="65"/>
        <v>2.4984535929916001E-2</v>
      </c>
      <c r="G177" s="326">
        <f t="shared" si="66"/>
        <v>1</v>
      </c>
      <c r="H177" s="327">
        <f t="shared" si="67"/>
        <v>0</v>
      </c>
      <c r="I177" s="325">
        <f t="shared" si="68"/>
        <v>3280.974174635805</v>
      </c>
      <c r="J177" s="328">
        <f t="shared" si="69"/>
        <v>1.5704915392646523</v>
      </c>
      <c r="K177" s="336">
        <f t="shared" si="94"/>
        <v>2.5269581946397097</v>
      </c>
      <c r="L177" s="337">
        <f t="shared" si="95"/>
        <v>1.1639307777894048</v>
      </c>
      <c r="M177" s="325">
        <f t="shared" si="72"/>
        <v>1.0040494084545264</v>
      </c>
      <c r="N177" s="337">
        <f t="shared" si="73"/>
        <v>8.9841980719619352E-2</v>
      </c>
      <c r="O177" s="343">
        <f t="shared" si="74"/>
        <v>1.0016678022555925</v>
      </c>
      <c r="P177" s="691">
        <f t="shared" si="75"/>
        <v>5.7714600915570499E-2</v>
      </c>
      <c r="Q177" s="336">
        <f t="shared" si="90"/>
        <v>4.1758836607421062</v>
      </c>
      <c r="R177" s="692">
        <f t="shared" si="76"/>
        <v>9.6617284048562402E-2</v>
      </c>
      <c r="S177" s="329">
        <f t="shared" si="77"/>
        <v>0.99925489601272954</v>
      </c>
      <c r="T177" s="330">
        <f t="shared" si="78"/>
        <v>5.761067696694392E-2</v>
      </c>
      <c r="U177" s="331">
        <f t="shared" si="79"/>
        <v>13.109614164497343</v>
      </c>
      <c r="V177" s="332">
        <f t="shared" si="80"/>
        <v>-119.83671145788549</v>
      </c>
      <c r="W177" s="334">
        <f t="shared" si="81"/>
        <v>60.163288542114515</v>
      </c>
      <c r="Y177" s="307">
        <f t="shared" si="82"/>
        <v>1000000000</v>
      </c>
      <c r="Z177" s="307">
        <f t="shared" si="83"/>
        <v>98865237.610000014</v>
      </c>
      <c r="AB177" s="333">
        <f t="shared" si="84"/>
        <v>35.404027611594678</v>
      </c>
      <c r="AC177" s="334">
        <f t="shared" si="85"/>
        <v>-28.441782098986014</v>
      </c>
      <c r="AE177" s="333">
        <f t="shared" si="86"/>
        <v>2.1472799160577365</v>
      </c>
      <c r="AF177" s="334">
        <f t="shared" si="87"/>
        <v>-89.165969801097305</v>
      </c>
      <c r="AH177">
        <f t="shared" si="88"/>
        <v>0</v>
      </c>
      <c r="AI177">
        <f t="shared" si="93"/>
        <v>0</v>
      </c>
    </row>
    <row r="178" spans="1:35" x14ac:dyDescent="0.25">
      <c r="A178" s="335">
        <v>10000</v>
      </c>
      <c r="B178" s="352">
        <f t="shared" si="89"/>
        <v>10</v>
      </c>
      <c r="C178" s="325">
        <f t="shared" si="62"/>
        <v>21.3231285982523</v>
      </c>
      <c r="D178" s="326">
        <f t="shared" si="63"/>
        <v>1.5238816857187107</v>
      </c>
      <c r="E178" s="326">
        <f t="shared" si="64"/>
        <v>1.0003157774824039</v>
      </c>
      <c r="F178" s="327">
        <f t="shared" si="65"/>
        <v>2.5127451466757551E-2</v>
      </c>
      <c r="G178" s="326">
        <f t="shared" si="66"/>
        <v>1</v>
      </c>
      <c r="H178" s="327">
        <f t="shared" si="67"/>
        <v>0</v>
      </c>
      <c r="I178" s="325">
        <f t="shared" si="68"/>
        <v>3299.7497489781836</v>
      </c>
      <c r="J178" s="328">
        <f t="shared" si="69"/>
        <v>1.570493273505593</v>
      </c>
      <c r="K178" s="336">
        <f t="shared" si="94"/>
        <v>2.5391597019806129</v>
      </c>
      <c r="L178" s="337">
        <f t="shared" si="95"/>
        <v>1.1660005207999118</v>
      </c>
      <c r="M178" s="325">
        <f t="shared" si="72"/>
        <v>1.0040957922429512</v>
      </c>
      <c r="N178" s="337">
        <f t="shared" si="73"/>
        <v>9.0353321289659477E-2</v>
      </c>
      <c r="O178" s="343">
        <f t="shared" si="74"/>
        <v>1.0016869289545809</v>
      </c>
      <c r="P178" s="691">
        <f t="shared" si="75"/>
        <v>5.8044137037487016E-2</v>
      </c>
      <c r="Q178" s="336">
        <f t="shared" si="90"/>
        <v>4.1761048715967233</v>
      </c>
      <c r="R178" s="692">
        <f t="shared" si="76"/>
        <v>9.7166760669561272E-2</v>
      </c>
      <c r="S178" s="329">
        <f t="shared" si="77"/>
        <v>0.99924637412246686</v>
      </c>
      <c r="T178" s="330">
        <f t="shared" si="78"/>
        <v>5.7941220660073151E-2</v>
      </c>
      <c r="U178" s="331">
        <f t="shared" si="79"/>
        <v>13.051844967373862</v>
      </c>
      <c r="V178" s="332">
        <f t="shared" si="80"/>
        <v>-119.78623245668066</v>
      </c>
      <c r="W178" s="334">
        <f t="shared" si="81"/>
        <v>60.213767543319335</v>
      </c>
      <c r="Y178" s="307">
        <f t="shared" si="82"/>
        <v>1000000000</v>
      </c>
      <c r="Z178" s="307">
        <f t="shared" si="83"/>
        <v>100000000</v>
      </c>
      <c r="AB178" s="333">
        <f t="shared" si="84"/>
        <v>35.395901707029822</v>
      </c>
      <c r="AC178" s="334">
        <f t="shared" si="85"/>
        <v>-28.352591580949014</v>
      </c>
      <c r="AE178" s="333">
        <f t="shared" si="86"/>
        <v>2.0979308784263</v>
      </c>
      <c r="AF178" s="334">
        <f t="shared" si="87"/>
        <v>-89.192079655573636</v>
      </c>
      <c r="AH178">
        <f t="shared" si="88"/>
        <v>0</v>
      </c>
      <c r="AI178">
        <f t="shared" si="93"/>
        <v>0</v>
      </c>
    </row>
    <row r="179" spans="1:35" x14ac:dyDescent="0.25">
      <c r="A179" s="335">
        <v>10058.25</v>
      </c>
      <c r="B179" s="352">
        <f t="shared" si="89"/>
        <v>10.058249999999999</v>
      </c>
      <c r="C179" s="325">
        <f t="shared" si="62"/>
        <v>21.447063434080665</v>
      </c>
      <c r="D179" s="326">
        <f t="shared" si="63"/>
        <v>1.5241529858386713</v>
      </c>
      <c r="E179" s="326">
        <f t="shared" si="64"/>
        <v>1.0003194664154491</v>
      </c>
      <c r="F179" s="327">
        <f t="shared" si="65"/>
        <v>2.5273756730484508E-2</v>
      </c>
      <c r="G179" s="326">
        <f t="shared" si="66"/>
        <v>1</v>
      </c>
      <c r="H179" s="327">
        <f t="shared" si="67"/>
        <v>0</v>
      </c>
      <c r="I179" s="325">
        <f t="shared" si="68"/>
        <v>3318.9707895058077</v>
      </c>
      <c r="J179" s="328">
        <f t="shared" si="69"/>
        <v>1.5704950285676593</v>
      </c>
      <c r="K179" s="336">
        <f t="shared" si="94"/>
        <v>2.5516618587207129</v>
      </c>
      <c r="L179" s="337">
        <f t="shared" si="95"/>
        <v>1.1680988568002226</v>
      </c>
      <c r="M179" s="325">
        <f t="shared" si="72"/>
        <v>1.0041435484574828</v>
      </c>
      <c r="N179" s="337">
        <f t="shared" si="73"/>
        <v>9.087674476632325E-2</v>
      </c>
      <c r="O179" s="343">
        <f t="shared" si="74"/>
        <v>1.0017066221252171</v>
      </c>
      <c r="P179" s="691">
        <f t="shared" si="75"/>
        <v>5.8381478605533478E-2</v>
      </c>
      <c r="Q179" s="336">
        <f t="shared" si="90"/>
        <v>4.1763326261805203</v>
      </c>
      <c r="R179" s="692">
        <f t="shared" si="76"/>
        <v>9.7729213860275346E-2</v>
      </c>
      <c r="S179" s="329">
        <f t="shared" si="77"/>
        <v>0.99923760039053255</v>
      </c>
      <c r="T179" s="330">
        <f t="shared" si="78"/>
        <v>5.827962208337216E-2</v>
      </c>
      <c r="U179" s="331">
        <f t="shared" si="79"/>
        <v>12.993112613528993</v>
      </c>
      <c r="V179" s="332">
        <f t="shared" si="80"/>
        <v>-119.73554577052215</v>
      </c>
      <c r="W179" s="334">
        <f t="shared" si="81"/>
        <v>60.264454229477849</v>
      </c>
      <c r="Y179" s="307">
        <f t="shared" si="82"/>
        <v>1000000000</v>
      </c>
      <c r="Z179" s="307">
        <f t="shared" si="83"/>
        <v>101168393.0625</v>
      </c>
      <c r="AB179" s="333">
        <f t="shared" si="84"/>
        <v>35.387702191288575</v>
      </c>
      <c r="AC179" s="334">
        <f t="shared" si="85"/>
        <v>-28.262456297787931</v>
      </c>
      <c r="AE179" s="333">
        <f t="shared" si="86"/>
        <v>2.0477009717013486</v>
      </c>
      <c r="AF179" s="334">
        <f t="shared" si="87"/>
        <v>-89.218630306663258</v>
      </c>
      <c r="AH179">
        <f t="shared" si="88"/>
        <v>0</v>
      </c>
      <c r="AI179">
        <f t="shared" si="93"/>
        <v>0</v>
      </c>
    </row>
    <row r="180" spans="1:35" x14ac:dyDescent="0.25">
      <c r="A180" s="335">
        <v>10116.5</v>
      </c>
      <c r="B180" s="352">
        <f t="shared" si="89"/>
        <v>10.1165</v>
      </c>
      <c r="C180" s="325">
        <f t="shared" si="62"/>
        <v>21.570999830354054</v>
      </c>
      <c r="D180" s="326">
        <f t="shared" si="63"/>
        <v>1.5244211684630522</v>
      </c>
      <c r="E180" s="326">
        <f t="shared" si="64"/>
        <v>1.0003231767604046</v>
      </c>
      <c r="F180" s="327">
        <f t="shared" si="65"/>
        <v>2.5420060912007877E-2</v>
      </c>
      <c r="G180" s="326">
        <f t="shared" si="66"/>
        <v>1</v>
      </c>
      <c r="H180" s="327">
        <f t="shared" si="67"/>
        <v>0</v>
      </c>
      <c r="I180" s="325">
        <f t="shared" si="68"/>
        <v>3338.1918300435377</v>
      </c>
      <c r="J180" s="328">
        <f t="shared" si="69"/>
        <v>1.570496763418713</v>
      </c>
      <c r="K180" s="336">
        <f t="shared" si="94"/>
        <v>2.5641751408778544</v>
      </c>
      <c r="L180" s="337">
        <f t="shared" si="95"/>
        <v>1.1701767219399122</v>
      </c>
      <c r="M180" s="325">
        <f t="shared" si="72"/>
        <v>1.0041915797531566</v>
      </c>
      <c r="N180" s="337">
        <f t="shared" si="73"/>
        <v>9.1400118314828679E-2</v>
      </c>
      <c r="O180" s="343">
        <f t="shared" si="74"/>
        <v>1.0017264292849097</v>
      </c>
      <c r="P180" s="691">
        <f t="shared" si="75"/>
        <v>5.8718806871441265E-2</v>
      </c>
      <c r="Q180" s="336">
        <f t="shared" si="90"/>
        <v>4.1765616910546646</v>
      </c>
      <c r="R180" s="692">
        <f t="shared" si="76"/>
        <v>9.8291605784255179E-2</v>
      </c>
      <c r="S180" s="329">
        <f t="shared" si="77"/>
        <v>0.99922877643640751</v>
      </c>
      <c r="T180" s="330">
        <f t="shared" si="78"/>
        <v>5.8618039080714404E-2</v>
      </c>
      <c r="U180" s="331">
        <f t="shared" si="79"/>
        <v>12.934786717733786</v>
      </c>
      <c r="V180" s="332">
        <f t="shared" si="80"/>
        <v>-119.68584754642724</v>
      </c>
      <c r="W180" s="334">
        <f t="shared" si="81"/>
        <v>60.31415245357276</v>
      </c>
      <c r="Y180" s="307">
        <f t="shared" si="82"/>
        <v>1000000000</v>
      </c>
      <c r="Z180" s="307">
        <f t="shared" si="83"/>
        <v>102343572.25</v>
      </c>
      <c r="AB180" s="333">
        <f t="shared" si="84"/>
        <v>35.379620803141584</v>
      </c>
      <c r="AC180" s="334">
        <f t="shared" si="85"/>
        <v>-28.173489889866314</v>
      </c>
      <c r="AE180" s="333">
        <f t="shared" si="86"/>
        <v>1.997761109544951</v>
      </c>
      <c r="AF180" s="334">
        <f t="shared" si="87"/>
        <v>-89.245003292745977</v>
      </c>
      <c r="AH180">
        <f t="shared" si="88"/>
        <v>0</v>
      </c>
      <c r="AI180">
        <f t="shared" si="93"/>
        <v>0</v>
      </c>
    </row>
    <row r="181" spans="1:35" x14ac:dyDescent="0.25">
      <c r="A181" s="335">
        <v>10174.75</v>
      </c>
      <c r="B181" s="352">
        <f t="shared" si="89"/>
        <v>10.17475</v>
      </c>
      <c r="C181" s="325">
        <f t="shared" si="62"/>
        <v>21.694937760329463</v>
      </c>
      <c r="D181" s="326">
        <f t="shared" si="63"/>
        <v>1.5246862869814357</v>
      </c>
      <c r="E181" s="326">
        <f t="shared" si="64"/>
        <v>1.0003269085170321</v>
      </c>
      <c r="F181" s="327">
        <f t="shared" si="65"/>
        <v>2.5566364005076486E-2</v>
      </c>
      <c r="G181" s="326">
        <f t="shared" si="66"/>
        <v>1</v>
      </c>
      <c r="H181" s="327">
        <f t="shared" si="67"/>
        <v>0</v>
      </c>
      <c r="I181" s="325">
        <f t="shared" si="68"/>
        <v>3357.412870591199</v>
      </c>
      <c r="J181" s="328">
        <f t="shared" si="69"/>
        <v>1.5704984784058751</v>
      </c>
      <c r="K181" s="336">
        <f t="shared" si="94"/>
        <v>2.5766993863662169</v>
      </c>
      <c r="L181" s="337">
        <f t="shared" si="95"/>
        <v>1.1722343966453048</v>
      </c>
      <c r="M181" s="325">
        <f t="shared" si="72"/>
        <v>1.0042398860905024</v>
      </c>
      <c r="N181" s="337">
        <f t="shared" si="73"/>
        <v>9.1923441655635596E-2</v>
      </c>
      <c r="O181" s="343">
        <f t="shared" si="74"/>
        <v>1.0017463504268971</v>
      </c>
      <c r="P181" s="691">
        <f t="shared" si="75"/>
        <v>5.9056121759232312E-2</v>
      </c>
      <c r="Q181" s="336">
        <f t="shared" si="90"/>
        <v>4.1767920660035927</v>
      </c>
      <c r="R181" s="692">
        <f t="shared" si="76"/>
        <v>9.8853936100206014E-2</v>
      </c>
      <c r="S181" s="329">
        <f t="shared" si="77"/>
        <v>0.99921990227290525</v>
      </c>
      <c r="T181" s="330">
        <f t="shared" si="78"/>
        <v>5.8956471742292016E-2</v>
      </c>
      <c r="U181" s="331">
        <f t="shared" si="79"/>
        <v>12.876861567215423</v>
      </c>
      <c r="V181" s="332">
        <f t="shared" si="80"/>
        <v>-119.63712477034522</v>
      </c>
      <c r="W181" s="334">
        <f t="shared" si="81"/>
        <v>60.362875229654776</v>
      </c>
      <c r="Y181" s="307">
        <f t="shared" si="82"/>
        <v>1000000000</v>
      </c>
      <c r="Z181" s="307">
        <f t="shared" si="83"/>
        <v>103525537.5625</v>
      </c>
      <c r="AB181" s="333">
        <f t="shared" si="84"/>
        <v>35.371655131075329</v>
      </c>
      <c r="AC181" s="334">
        <f t="shared" si="85"/>
        <v>-28.085676293811371</v>
      </c>
      <c r="AE181" s="333">
        <f t="shared" si="86"/>
        <v>1.9481079899211289</v>
      </c>
      <c r="AF181" s="334">
        <f t="shared" si="87"/>
        <v>-89.271201678345264</v>
      </c>
      <c r="AH181">
        <f t="shared" si="88"/>
        <v>0</v>
      </c>
      <c r="AI181">
        <f t="shared" si="93"/>
        <v>0</v>
      </c>
    </row>
    <row r="182" spans="1:35" x14ac:dyDescent="0.25">
      <c r="A182" s="335">
        <v>10233</v>
      </c>
      <c r="B182" s="352">
        <f t="shared" si="89"/>
        <v>10.233000000000001</v>
      </c>
      <c r="C182" s="325">
        <f t="shared" si="62"/>
        <v>21.818877197871185</v>
      </c>
      <c r="D182" s="326">
        <f t="shared" si="63"/>
        <v>1.5249483935720591</v>
      </c>
      <c r="E182" s="326">
        <f t="shared" si="64"/>
        <v>1.000330661685092</v>
      </c>
      <c r="F182" s="327">
        <f t="shared" si="65"/>
        <v>2.5712666003439431E-2</v>
      </c>
      <c r="G182" s="326">
        <f t="shared" si="66"/>
        <v>1</v>
      </c>
      <c r="H182" s="327">
        <f t="shared" si="67"/>
        <v>0</v>
      </c>
      <c r="I182" s="325">
        <f t="shared" si="68"/>
        <v>3376.6339111486232</v>
      </c>
      <c r="J182" s="328">
        <f t="shared" si="69"/>
        <v>1.5705001738683635</v>
      </c>
      <c r="K182" s="336">
        <f t="shared" si="94"/>
        <v>2.5892344360954</v>
      </c>
      <c r="L182" s="337">
        <f t="shared" si="95"/>
        <v>1.1742721566033474</v>
      </c>
      <c r="M182" s="325">
        <f t="shared" si="72"/>
        <v>1.0042884674298318</v>
      </c>
      <c r="N182" s="337">
        <f t="shared" si="73"/>
        <v>9.2446714509367395E-2</v>
      </c>
      <c r="O182" s="343">
        <f t="shared" si="74"/>
        <v>1.0017663855443792</v>
      </c>
      <c r="P182" s="691">
        <f t="shared" si="75"/>
        <v>5.939342319294675E-2</v>
      </c>
      <c r="Q182" s="336">
        <f t="shared" si="90"/>
        <v>4.1770237508105561</v>
      </c>
      <c r="R182" s="692">
        <f t="shared" si="76"/>
        <v>9.941620446706291E-2</v>
      </c>
      <c r="S182" s="329">
        <f t="shared" si="77"/>
        <v>0.99921097791291391</v>
      </c>
      <c r="T182" s="330">
        <f t="shared" si="78"/>
        <v>5.9294920158296981E-2</v>
      </c>
      <c r="U182" s="331">
        <f t="shared" si="79"/>
        <v>12.819331563870227</v>
      </c>
      <c r="V182" s="332">
        <f t="shared" si="80"/>
        <v>-119.58936462993537</v>
      </c>
      <c r="W182" s="334">
        <f t="shared" si="81"/>
        <v>60.410635370064625</v>
      </c>
      <c r="Y182" s="307">
        <f t="shared" si="82"/>
        <v>1000000000</v>
      </c>
      <c r="Z182" s="307">
        <f t="shared" si="83"/>
        <v>104714289</v>
      </c>
      <c r="AB182" s="333">
        <f t="shared" si="84"/>
        <v>35.363802822177021</v>
      </c>
      <c r="AC182" s="334">
        <f t="shared" si="85"/>
        <v>-27.998999717353247</v>
      </c>
      <c r="AE182" s="333">
        <f t="shared" si="86"/>
        <v>1.8987383668581839</v>
      </c>
      <c r="AF182" s="334">
        <f t="shared" si="87"/>
        <v>-89.297228458579752</v>
      </c>
      <c r="AH182">
        <f t="shared" si="88"/>
        <v>0</v>
      </c>
      <c r="AI182">
        <f t="shared" si="93"/>
        <v>0</v>
      </c>
    </row>
    <row r="183" spans="1:35" x14ac:dyDescent="0.25">
      <c r="A183" s="335">
        <v>10292.5</v>
      </c>
      <c r="B183" s="352">
        <f t="shared" si="89"/>
        <v>10.2925</v>
      </c>
      <c r="C183" s="325">
        <f t="shared" si="62"/>
        <v>21.945477809876479</v>
      </c>
      <c r="D183" s="326">
        <f t="shared" si="63"/>
        <v>1.5252130682205709</v>
      </c>
      <c r="E183" s="326">
        <f t="shared" si="64"/>
        <v>1.0003345174985598</v>
      </c>
      <c r="F183" s="327">
        <f t="shared" si="65"/>
        <v>2.5862106392969798E-2</v>
      </c>
      <c r="G183" s="326">
        <f t="shared" si="66"/>
        <v>1</v>
      </c>
      <c r="H183" s="327">
        <f t="shared" si="67"/>
        <v>0</v>
      </c>
      <c r="I183" s="325">
        <f t="shared" si="68"/>
        <v>3396.2674203974434</v>
      </c>
      <c r="J183" s="328">
        <f t="shared" si="69"/>
        <v>1.5705018859012134</v>
      </c>
      <c r="K183" s="336">
        <f t="shared" si="94"/>
        <v>2.602049470452342</v>
      </c>
      <c r="L183" s="337">
        <f t="shared" si="95"/>
        <v>1.1763333667513753</v>
      </c>
      <c r="M183" s="325">
        <f t="shared" si="72"/>
        <v>1.004338375162974</v>
      </c>
      <c r="N183" s="337">
        <f t="shared" si="73"/>
        <v>9.2981163980150106E-2</v>
      </c>
      <c r="O183" s="343">
        <f t="shared" si="74"/>
        <v>1.0017869682633709</v>
      </c>
      <c r="P183" s="691">
        <f t="shared" si="75"/>
        <v>5.9737948885642718E-2</v>
      </c>
      <c r="Q183" s="336">
        <f t="shared" si="90"/>
        <v>4.177261759490321</v>
      </c>
      <c r="R183" s="692">
        <f t="shared" si="76"/>
        <v>9.9990474366875415E-2</v>
      </c>
      <c r="S183" s="329">
        <f t="shared" si="77"/>
        <v>0.99920181023271681</v>
      </c>
      <c r="T183" s="330">
        <f t="shared" si="78"/>
        <v>5.9640647774800604E-2</v>
      </c>
      <c r="U183" s="331">
        <f t="shared" si="79"/>
        <v>12.7609692644614</v>
      </c>
      <c r="V183" s="332">
        <f t="shared" si="80"/>
        <v>-119.54156032242186</v>
      </c>
      <c r="W183" s="334">
        <f t="shared" si="81"/>
        <v>60.458439677578141</v>
      </c>
      <c r="Y183" s="307">
        <f t="shared" si="82"/>
        <v>1000000000</v>
      </c>
      <c r="Z183" s="307">
        <f t="shared" si="83"/>
        <v>105935556.25</v>
      </c>
      <c r="AB183" s="333">
        <f t="shared" si="84"/>
        <v>35.355896660045673</v>
      </c>
      <c r="AC183" s="334">
        <f t="shared" si="85"/>
        <v>-27.911620866377397</v>
      </c>
      <c r="AE183" s="333">
        <f t="shared" si="86"/>
        <v>1.8485986791974038</v>
      </c>
      <c r="AF183" s="334">
        <f t="shared" si="87"/>
        <v>-89.32363962859165</v>
      </c>
      <c r="AH183">
        <f t="shared" si="88"/>
        <v>0</v>
      </c>
      <c r="AI183">
        <f t="shared" si="93"/>
        <v>0</v>
      </c>
    </row>
    <row r="184" spans="1:35" x14ac:dyDescent="0.25">
      <c r="A184" s="335">
        <v>10352</v>
      </c>
      <c r="B184" s="352">
        <f t="shared" si="89"/>
        <v>10.352</v>
      </c>
      <c r="C184" s="325">
        <f t="shared" si="62"/>
        <v>22.072079941585333</v>
      </c>
      <c r="D184" s="326">
        <f t="shared" si="63"/>
        <v>1.5254747066192635</v>
      </c>
      <c r="E184" s="326">
        <f t="shared" si="64"/>
        <v>1.000338395651756</v>
      </c>
      <c r="F184" s="327">
        <f t="shared" si="65"/>
        <v>2.6011545627124141E-2</v>
      </c>
      <c r="G184" s="326">
        <f t="shared" si="66"/>
        <v>1</v>
      </c>
      <c r="H184" s="327">
        <f t="shared" si="67"/>
        <v>0</v>
      </c>
      <c r="I184" s="325">
        <f t="shared" si="68"/>
        <v>3415.9009296561035</v>
      </c>
      <c r="J184" s="328">
        <f t="shared" si="69"/>
        <v>1.5705035782536254</v>
      </c>
      <c r="K184" s="336">
        <f t="shared" si="94"/>
        <v>2.6148754514588397</v>
      </c>
      <c r="L184" s="337">
        <f t="shared" si="95"/>
        <v>1.1783743650018177</v>
      </c>
      <c r="M184" s="325">
        <f t="shared" si="72"/>
        <v>1.0043885697429926</v>
      </c>
      <c r="N184" s="337">
        <f t="shared" si="73"/>
        <v>9.3515560185060423E-2</v>
      </c>
      <c r="O184" s="343">
        <f t="shared" si="74"/>
        <v>1.0018076698875304</v>
      </c>
      <c r="P184" s="691">
        <f t="shared" si="75"/>
        <v>6.0082460380486244E-2</v>
      </c>
      <c r="Q184" s="336">
        <f t="shared" si="90"/>
        <v>4.1775011343874597</v>
      </c>
      <c r="R184" s="692">
        <f t="shared" si="76"/>
        <v>0.10056467891168827</v>
      </c>
      <c r="S184" s="329">
        <f t="shared" si="77"/>
        <v>0.99919259020598017</v>
      </c>
      <c r="T184" s="330">
        <f t="shared" si="78"/>
        <v>5.9986392019370116E-2</v>
      </c>
      <c r="U184" s="331">
        <f t="shared" si="79"/>
        <v>12.703007799477648</v>
      </c>
      <c r="V184" s="332">
        <f t="shared" si="80"/>
        <v>-119.49473401534866</v>
      </c>
      <c r="W184" s="334">
        <f t="shared" si="81"/>
        <v>60.505265984651345</v>
      </c>
      <c r="Y184" s="307">
        <f t="shared" si="82"/>
        <v>1000000000</v>
      </c>
      <c r="Z184" s="307">
        <f t="shared" si="83"/>
        <v>107163904</v>
      </c>
      <c r="AB184" s="333">
        <f t="shared" si="84"/>
        <v>35.348103995916468</v>
      </c>
      <c r="AC184" s="334">
        <f t="shared" si="85"/>
        <v>-27.825395892314759</v>
      </c>
      <c r="AE184" s="333">
        <f t="shared" si="86"/>
        <v>1.7987481131438863</v>
      </c>
      <c r="AF184" s="334">
        <f t="shared" si="87"/>
        <v>-89.349877853219354</v>
      </c>
      <c r="AH184">
        <f t="shared" si="88"/>
        <v>0</v>
      </c>
      <c r="AI184">
        <f t="shared" si="93"/>
        <v>0</v>
      </c>
    </row>
    <row r="185" spans="1:35" x14ac:dyDescent="0.25">
      <c r="A185" s="335">
        <v>10411.5</v>
      </c>
      <c r="B185" s="352">
        <f t="shared" si="89"/>
        <v>10.4115</v>
      </c>
      <c r="C185" s="325">
        <f t="shared" si="62"/>
        <v>22.198683566996515</v>
      </c>
      <c r="D185" s="326">
        <f t="shared" si="63"/>
        <v>1.5257333606810641</v>
      </c>
      <c r="E185" s="326">
        <f t="shared" si="64"/>
        <v>1.0003422961444204</v>
      </c>
      <c r="F185" s="327">
        <f t="shared" si="65"/>
        <v>2.6160983699241355E-2</v>
      </c>
      <c r="G185" s="326">
        <f t="shared" si="66"/>
        <v>1</v>
      </c>
      <c r="H185" s="327">
        <f t="shared" si="67"/>
        <v>0</v>
      </c>
      <c r="I185" s="325">
        <f t="shared" si="68"/>
        <v>3435.5344389244356</v>
      </c>
      <c r="J185" s="328">
        <f t="shared" si="69"/>
        <v>1.5705052512630111</v>
      </c>
      <c r="K185" s="336">
        <f t="shared" si="94"/>
        <v>2.6277122188216371</v>
      </c>
      <c r="L185" s="337">
        <f t="shared" si="95"/>
        <v>1.1803954304392925</v>
      </c>
      <c r="M185" s="325">
        <f t="shared" si="72"/>
        <v>1.0044390511268846</v>
      </c>
      <c r="N185" s="337">
        <f t="shared" si="73"/>
        <v>9.4049902826881873E-2</v>
      </c>
      <c r="O185" s="343">
        <f t="shared" si="74"/>
        <v>1.001828490409487</v>
      </c>
      <c r="P185" s="691">
        <f t="shared" si="75"/>
        <v>6.0426957596581121E-2</v>
      </c>
      <c r="Q185" s="336">
        <f t="shared" si="90"/>
        <v>4.1777418752671469</v>
      </c>
      <c r="R185" s="692">
        <f t="shared" si="76"/>
        <v>0.1011388177387548</v>
      </c>
      <c r="S185" s="329">
        <f t="shared" si="77"/>
        <v>0.99918331784668035</v>
      </c>
      <c r="T185" s="330">
        <f t="shared" si="78"/>
        <v>6.0332152988129058E-2</v>
      </c>
      <c r="U185" s="331">
        <f t="shared" si="79"/>
        <v>12.645441554560378</v>
      </c>
      <c r="V185" s="332">
        <f t="shared" si="80"/>
        <v>-119.44887268478001</v>
      </c>
      <c r="W185" s="334">
        <f t="shared" si="81"/>
        <v>60.551127315219986</v>
      </c>
      <c r="Y185" s="307">
        <f t="shared" si="82"/>
        <v>1000000000</v>
      </c>
      <c r="Z185" s="307">
        <f t="shared" si="83"/>
        <v>108399332.25</v>
      </c>
      <c r="AB185" s="333">
        <f t="shared" si="84"/>
        <v>35.340422500921775</v>
      </c>
      <c r="AC185" s="334">
        <f t="shared" si="85"/>
        <v>-27.740308807097602</v>
      </c>
      <c r="AE185" s="333">
        <f t="shared" si="86"/>
        <v>1.7491833823610294</v>
      </c>
      <c r="AF185" s="334">
        <f t="shared" si="87"/>
        <v>-89.375946112743577</v>
      </c>
      <c r="AH185">
        <f t="shared" si="88"/>
        <v>0</v>
      </c>
      <c r="AI185">
        <f t="shared" si="93"/>
        <v>0</v>
      </c>
    </row>
    <row r="186" spans="1:35" x14ac:dyDescent="0.25">
      <c r="A186" s="335">
        <v>10471</v>
      </c>
      <c r="B186" s="352">
        <f t="shared" si="89"/>
        <v>10.471</v>
      </c>
      <c r="C186" s="325">
        <f t="shared" si="62"/>
        <v>22.325288660698288</v>
      </c>
      <c r="D186" s="326">
        <f t="shared" si="63"/>
        <v>1.5259890811429409</v>
      </c>
      <c r="E186" s="326">
        <f t="shared" si="64"/>
        <v>1.0003462189762915</v>
      </c>
      <c r="F186" s="327">
        <f t="shared" si="65"/>
        <v>2.6310420602660648E-2</v>
      </c>
      <c r="G186" s="326">
        <f t="shared" si="66"/>
        <v>1</v>
      </c>
      <c r="H186" s="327">
        <f t="shared" si="67"/>
        <v>0</v>
      </c>
      <c r="I186" s="325">
        <f t="shared" si="68"/>
        <v>3455.1679482022741</v>
      </c>
      <c r="J186" s="328">
        <f t="shared" si="69"/>
        <v>1.5705069052591125</v>
      </c>
      <c r="K186" s="336">
        <f t="shared" si="94"/>
        <v>2.6405596152309641</v>
      </c>
      <c r="L186" s="337">
        <f t="shared" si="95"/>
        <v>1.1823968373751976</v>
      </c>
      <c r="M186" s="325">
        <f t="shared" si="72"/>
        <v>1.0044898192714089</v>
      </c>
      <c r="N186" s="337">
        <f t="shared" si="73"/>
        <v>9.4584191608579907E-2</v>
      </c>
      <c r="O186" s="343">
        <f t="shared" si="74"/>
        <v>1.0018494298218277</v>
      </c>
      <c r="P186" s="691">
        <f t="shared" si="75"/>
        <v>6.0771440453051433E-2</v>
      </c>
      <c r="Q186" s="336">
        <f t="shared" si="90"/>
        <v>4.1779839818932674</v>
      </c>
      <c r="R186" s="692">
        <f t="shared" si="76"/>
        <v>0.10171289048558367</v>
      </c>
      <c r="S186" s="329">
        <f t="shared" si="77"/>
        <v>0.99917399316887567</v>
      </c>
      <c r="T186" s="330">
        <f t="shared" si="78"/>
        <v>6.0677930777200795E-2</v>
      </c>
      <c r="U186" s="331">
        <f t="shared" si="79"/>
        <v>12.588265027920325</v>
      </c>
      <c r="V186" s="332">
        <f t="shared" si="80"/>
        <v>-119.40396351247236</v>
      </c>
      <c r="W186" s="334">
        <f t="shared" si="81"/>
        <v>60.596036487527641</v>
      </c>
      <c r="Y186" s="307">
        <f t="shared" si="82"/>
        <v>1000000000</v>
      </c>
      <c r="Z186" s="307">
        <f t="shared" si="83"/>
        <v>109641841</v>
      </c>
      <c r="AB186" s="333">
        <f t="shared" si="84"/>
        <v>35.332849903037996</v>
      </c>
      <c r="AC186" s="334">
        <f t="shared" si="85"/>
        <v>-27.656343895714503</v>
      </c>
      <c r="AE186" s="333">
        <f t="shared" si="86"/>
        <v>1.6999012562330142</v>
      </c>
      <c r="AF186" s="334">
        <f t="shared" si="87"/>
        <v>-89.401847320067588</v>
      </c>
      <c r="AH186">
        <f t="shared" si="88"/>
        <v>0</v>
      </c>
      <c r="AI186">
        <f t="shared" si="93"/>
        <v>0</v>
      </c>
    </row>
    <row r="187" spans="1:35" x14ac:dyDescent="0.25">
      <c r="A187" s="335">
        <v>10532</v>
      </c>
      <c r="B187" s="352">
        <f t="shared" si="89"/>
        <v>10.532</v>
      </c>
      <c r="C187" s="325">
        <f t="shared" si="62"/>
        <v>22.45508697773311</v>
      </c>
      <c r="D187" s="326">
        <f t="shared" si="63"/>
        <v>1.5262482547830967</v>
      </c>
      <c r="E187" s="326">
        <f t="shared" si="64"/>
        <v>1.0003502638938746</v>
      </c>
      <c r="F187" s="327">
        <f t="shared" si="65"/>
        <v>2.6463623602736543E-2</v>
      </c>
      <c r="G187" s="326">
        <f t="shared" si="66"/>
        <v>1</v>
      </c>
      <c r="H187" s="327">
        <f t="shared" si="67"/>
        <v>0</v>
      </c>
      <c r="I187" s="325">
        <f t="shared" si="68"/>
        <v>3475.2964199085823</v>
      </c>
      <c r="J187" s="328">
        <f t="shared" si="69"/>
        <v>1.5705085815516215</v>
      </c>
      <c r="K187" s="336">
        <f t="shared" si="94"/>
        <v>2.6537417683387807</v>
      </c>
      <c r="L187" s="337">
        <f t="shared" si="95"/>
        <v>1.1844285740454794</v>
      </c>
      <c r="M187" s="325">
        <f t="shared" si="72"/>
        <v>1.0045421649352537</v>
      </c>
      <c r="N187" s="337">
        <f t="shared" si="73"/>
        <v>9.5131893630636649E-2</v>
      </c>
      <c r="O187" s="343">
        <f t="shared" si="74"/>
        <v>1.0018710205347281</v>
      </c>
      <c r="P187" s="691">
        <f t="shared" si="75"/>
        <v>6.1124592759438774E-2</v>
      </c>
      <c r="Q187" s="336">
        <f t="shared" si="90"/>
        <v>4.1782336096255541</v>
      </c>
      <c r="R187" s="692">
        <f t="shared" si="76"/>
        <v>0.10230136667532656</v>
      </c>
      <c r="S187" s="329">
        <f t="shared" si="77"/>
        <v>0.99916437911640066</v>
      </c>
      <c r="T187" s="330">
        <f t="shared" si="78"/>
        <v>6.1032443215739383E-2</v>
      </c>
      <c r="U187" s="331">
        <f t="shared" si="79"/>
        <v>12.530046011570606</v>
      </c>
      <c r="V187" s="332">
        <f t="shared" si="80"/>
        <v>-119.35889743718931</v>
      </c>
      <c r="W187" s="334">
        <f t="shared" si="81"/>
        <v>60.641102562810687</v>
      </c>
      <c r="Y187" s="307">
        <f t="shared" si="82"/>
        <v>1000000000</v>
      </c>
      <c r="Z187" s="307">
        <f t="shared" si="83"/>
        <v>110923024</v>
      </c>
      <c r="AB187" s="333">
        <f t="shared" si="84"/>
        <v>35.325197128686256</v>
      </c>
      <c r="AC187" s="334">
        <f t="shared" si="85"/>
        <v>-27.571411018108975</v>
      </c>
      <c r="AE187" s="333">
        <f t="shared" si="86"/>
        <v>1.6496667801379925</v>
      </c>
      <c r="AF187" s="334">
        <f t="shared" si="87"/>
        <v>-89.428231057039781</v>
      </c>
      <c r="AH187">
        <f t="shared" si="88"/>
        <v>0</v>
      </c>
      <c r="AI187">
        <f t="shared" si="93"/>
        <v>0</v>
      </c>
    </row>
    <row r="188" spans="1:35" x14ac:dyDescent="0.25">
      <c r="A188" s="335">
        <v>10593</v>
      </c>
      <c r="B188" s="352">
        <f t="shared" si="89"/>
        <v>10.593</v>
      </c>
      <c r="C188" s="325">
        <f t="shared" si="62"/>
        <v>22.58488678576084</v>
      </c>
      <c r="D188" s="326">
        <f t="shared" si="63"/>
        <v>1.5265044493960307</v>
      </c>
      <c r="E188" s="326">
        <f t="shared" si="64"/>
        <v>1.0003543322906476</v>
      </c>
      <c r="F188" s="327">
        <f t="shared" si="65"/>
        <v>2.6616825360268596E-2</v>
      </c>
      <c r="G188" s="326">
        <f t="shared" si="66"/>
        <v>1</v>
      </c>
      <c r="H188" s="327">
        <f t="shared" si="67"/>
        <v>0</v>
      </c>
      <c r="I188" s="325">
        <f t="shared" si="68"/>
        <v>3495.4248916245433</v>
      </c>
      <c r="J188" s="328">
        <f t="shared" si="69"/>
        <v>1.570510238538205</v>
      </c>
      <c r="K188" s="336">
        <f t="shared" si="94"/>
        <v>2.6669347676517776</v>
      </c>
      <c r="L188" s="337">
        <f t="shared" si="95"/>
        <v>1.1864402174470197</v>
      </c>
      <c r="M188" s="325">
        <f t="shared" si="72"/>
        <v>1.0045948119076946</v>
      </c>
      <c r="N188" s="337">
        <f t="shared" si="73"/>
        <v>9.5679538411023182E-2</v>
      </c>
      <c r="O188" s="343">
        <f t="shared" si="74"/>
        <v>1.0018927361921328</v>
      </c>
      <c r="P188" s="691">
        <f t="shared" si="75"/>
        <v>6.1477729800973269E-2</v>
      </c>
      <c r="Q188" s="336">
        <f t="shared" si="90"/>
        <v>4.1784846723267046</v>
      </c>
      <c r="R188" s="692">
        <f t="shared" si="76"/>
        <v>0.10288977264028441</v>
      </c>
      <c r="S188" s="329">
        <f t="shared" si="77"/>
        <v>0.99915471010444734</v>
      </c>
      <c r="T188" s="330">
        <f t="shared" si="78"/>
        <v>6.138697353797256E-2</v>
      </c>
      <c r="U188" s="331">
        <f t="shared" si="79"/>
        <v>12.472225250307492</v>
      </c>
      <c r="V188" s="332">
        <f t="shared" si="80"/>
        <v>-119.31480549674248</v>
      </c>
      <c r="W188" s="334">
        <f t="shared" si="81"/>
        <v>60.68519450325752</v>
      </c>
      <c r="Y188" s="307">
        <f t="shared" si="82"/>
        <v>1000000000</v>
      </c>
      <c r="Z188" s="307">
        <f t="shared" si="83"/>
        <v>112211649</v>
      </c>
      <c r="AB188" s="333">
        <f t="shared" si="84"/>
        <v>35.317654151344087</v>
      </c>
      <c r="AC188" s="334">
        <f t="shared" si="85"/>
        <v>-27.487625014146097</v>
      </c>
      <c r="AE188" s="333">
        <f t="shared" si="86"/>
        <v>1.5997226348416498</v>
      </c>
      <c r="AF188" s="334">
        <f t="shared" si="87"/>
        <v>-89.454445204177645</v>
      </c>
      <c r="AH188">
        <f t="shared" si="88"/>
        <v>0</v>
      </c>
      <c r="AI188">
        <f t="shared" si="93"/>
        <v>0</v>
      </c>
    </row>
    <row r="189" spans="1:35" x14ac:dyDescent="0.25">
      <c r="A189" s="335">
        <v>10654</v>
      </c>
      <c r="B189" s="352">
        <f t="shared" si="89"/>
        <v>10.654</v>
      </c>
      <c r="C189" s="325">
        <f t="shared" si="62"/>
        <v>22.714688059221277</v>
      </c>
      <c r="D189" s="326">
        <f t="shared" si="63"/>
        <v>1.5267577160180612</v>
      </c>
      <c r="E189" s="326">
        <f t="shared" si="64"/>
        <v>1.0003584241663244</v>
      </c>
      <c r="F189" s="327">
        <f t="shared" si="65"/>
        <v>2.6770025868080492E-2</v>
      </c>
      <c r="G189" s="326">
        <f t="shared" si="66"/>
        <v>1</v>
      </c>
      <c r="H189" s="327">
        <f t="shared" si="67"/>
        <v>0</v>
      </c>
      <c r="I189" s="325">
        <f t="shared" si="68"/>
        <v>3515.5533633499917</v>
      </c>
      <c r="J189" s="328">
        <f t="shared" si="69"/>
        <v>1.5705118765504742</v>
      </c>
      <c r="K189" s="336">
        <f t="shared" si="94"/>
        <v>2.6801384529984076</v>
      </c>
      <c r="L189" s="337">
        <f t="shared" si="95"/>
        <v>1.1884320481455883</v>
      </c>
      <c r="M189" s="325">
        <f t="shared" si="72"/>
        <v>1.004647760141363</v>
      </c>
      <c r="N189" s="337">
        <f t="shared" si="73"/>
        <v>9.6227125630270818E-2</v>
      </c>
      <c r="O189" s="343">
        <f t="shared" si="74"/>
        <v>1.0019145767859177</v>
      </c>
      <c r="P189" s="691">
        <f t="shared" si="75"/>
        <v>6.1830851490573893E-2</v>
      </c>
      <c r="Q189" s="336">
        <f t="shared" si="90"/>
        <v>4.1787371697380937</v>
      </c>
      <c r="R189" s="692">
        <f t="shared" si="76"/>
        <v>0.10347810799069788</v>
      </c>
      <c r="S189" s="329">
        <f t="shared" si="77"/>
        <v>0.99914498614842995</v>
      </c>
      <c r="T189" s="330">
        <f t="shared" si="78"/>
        <v>6.174152184747795E-2</v>
      </c>
      <c r="U189" s="331">
        <f t="shared" si="79"/>
        <v>12.414797165567045</v>
      </c>
      <c r="V189" s="332">
        <f t="shared" si="80"/>
        <v>-119.27167452976217</v>
      </c>
      <c r="W189" s="334">
        <f t="shared" si="81"/>
        <v>60.728325470237834</v>
      </c>
      <c r="Y189" s="307">
        <f t="shared" si="82"/>
        <v>1000000000</v>
      </c>
      <c r="Z189" s="307">
        <f t="shared" si="83"/>
        <v>113507716</v>
      </c>
      <c r="AB189" s="333">
        <f t="shared" si="84"/>
        <v>35.310218698394003</v>
      </c>
      <c r="AC189" s="334">
        <f t="shared" si="85"/>
        <v>-27.404969809287085</v>
      </c>
      <c r="AE189" s="333">
        <f t="shared" si="86"/>
        <v>1.5500655134667061</v>
      </c>
      <c r="AF189" s="334">
        <f t="shared" si="87"/>
        <v>-89.480492691992552</v>
      </c>
      <c r="AH189">
        <f t="shared" si="88"/>
        <v>0</v>
      </c>
      <c r="AI189">
        <f t="shared" si="93"/>
        <v>0</v>
      </c>
    </row>
    <row r="190" spans="1:35" x14ac:dyDescent="0.25">
      <c r="A190" s="335">
        <v>10715</v>
      </c>
      <c r="B190" s="352">
        <f t="shared" si="89"/>
        <v>10.715</v>
      </c>
      <c r="C190" s="325">
        <f t="shared" si="62"/>
        <v>22.844490773134872</v>
      </c>
      <c r="D190" s="326">
        <f t="shared" si="63"/>
        <v>1.5270081045270716</v>
      </c>
      <c r="E190" s="326">
        <f t="shared" si="64"/>
        <v>1.0003625395206168</v>
      </c>
      <c r="F190" s="327">
        <f t="shared" si="65"/>
        <v>2.6923225118996256E-2</v>
      </c>
      <c r="G190" s="326">
        <f t="shared" si="66"/>
        <v>1</v>
      </c>
      <c r="H190" s="327">
        <f t="shared" si="67"/>
        <v>0</v>
      </c>
      <c r="I190" s="325">
        <f t="shared" si="68"/>
        <v>3535.6818350847648</v>
      </c>
      <c r="J190" s="328">
        <f t="shared" si="69"/>
        <v>1.5705134959124882</v>
      </c>
      <c r="K190" s="336">
        <f t="shared" si="94"/>
        <v>2.6933526672195036</v>
      </c>
      <c r="L190" s="337">
        <f t="shared" si="95"/>
        <v>1.1904043418364127</v>
      </c>
      <c r="M190" s="325">
        <f t="shared" si="72"/>
        <v>1.0047010095886288</v>
      </c>
      <c r="N190" s="337">
        <f t="shared" si="73"/>
        <v>9.6774654969116192E-2</v>
      </c>
      <c r="O190" s="343">
        <f t="shared" si="74"/>
        <v>1.0019365423079123</v>
      </c>
      <c r="P190" s="691">
        <f t="shared" si="75"/>
        <v>6.2183957741182516E-2</v>
      </c>
      <c r="Q190" s="336">
        <f t="shared" si="90"/>
        <v>4.1789911015996797</v>
      </c>
      <c r="R190" s="692">
        <f t="shared" si="76"/>
        <v>0.10406637233709554</v>
      </c>
      <c r="S190" s="329">
        <f t="shared" si="77"/>
        <v>0.9991352072638523</v>
      </c>
      <c r="T190" s="330">
        <f t="shared" si="78"/>
        <v>6.2096088247833012E-2</v>
      </c>
      <c r="U190" s="331">
        <f t="shared" si="79"/>
        <v>12.357756290893185</v>
      </c>
      <c r="V190" s="332">
        <f t="shared" si="80"/>
        <v>-119.22949158716115</v>
      </c>
      <c r="W190" s="334">
        <f t="shared" si="81"/>
        <v>60.770508412838851</v>
      </c>
      <c r="Y190" s="307">
        <f t="shared" si="82"/>
        <v>1000000000</v>
      </c>
      <c r="Z190" s="307">
        <f t="shared" si="83"/>
        <v>114811225</v>
      </c>
      <c r="AB190" s="333">
        <f t="shared" si="84"/>
        <v>35.302888553126913</v>
      </c>
      <c r="AC190" s="334">
        <f t="shared" si="85"/>
        <v>-27.323429607633724</v>
      </c>
      <c r="AE190" s="333">
        <f t="shared" si="86"/>
        <v>1.5006921653303831</v>
      </c>
      <c r="AF190" s="334">
        <f t="shared" si="87"/>
        <v>-89.506376384622442</v>
      </c>
      <c r="AH190">
        <f t="shared" si="88"/>
        <v>0</v>
      </c>
      <c r="AI190">
        <f t="shared" si="93"/>
        <v>0</v>
      </c>
    </row>
    <row r="191" spans="1:35" x14ac:dyDescent="0.25">
      <c r="A191" s="335">
        <v>10777.5</v>
      </c>
      <c r="B191" s="352">
        <f t="shared" si="89"/>
        <v>10.7775</v>
      </c>
      <c r="C191" s="325">
        <f t="shared" si="62"/>
        <v>22.977486825555605</v>
      </c>
      <c r="D191" s="326">
        <f t="shared" si="63"/>
        <v>1.527261715959956</v>
      </c>
      <c r="E191" s="326">
        <f t="shared" si="64"/>
        <v>1.0003667804235712</v>
      </c>
      <c r="F191" s="327">
        <f t="shared" si="65"/>
        <v>2.7080190253466137E-2</v>
      </c>
      <c r="G191" s="326">
        <f t="shared" si="66"/>
        <v>1</v>
      </c>
      <c r="H191" s="327">
        <f t="shared" si="67"/>
        <v>0</v>
      </c>
      <c r="I191" s="325">
        <f t="shared" si="68"/>
        <v>3556.3052692487522</v>
      </c>
      <c r="J191" s="328">
        <f t="shared" si="69"/>
        <v>1.5705151360822136</v>
      </c>
      <c r="K191" s="336">
        <f t="shared" si="94"/>
        <v>2.7069025803110054</v>
      </c>
      <c r="L191" s="337">
        <f t="shared" si="95"/>
        <v>1.1924051542798995</v>
      </c>
      <c r="M191" s="325">
        <f t="shared" si="72"/>
        <v>1.0047558808134553</v>
      </c>
      <c r="N191" s="337">
        <f t="shared" si="73"/>
        <v>9.7335587777694868E-2</v>
      </c>
      <c r="O191" s="343">
        <f t="shared" si="74"/>
        <v>1.0019591775310901</v>
      </c>
      <c r="P191" s="691">
        <f t="shared" si="75"/>
        <v>6.2545730828237542E-2</v>
      </c>
      <c r="Q191" s="336">
        <f t="shared" si="90"/>
        <v>4.1792527652078961</v>
      </c>
      <c r="R191" s="692">
        <f t="shared" si="76"/>
        <v>0.10466902814876256</v>
      </c>
      <c r="S191" s="329">
        <f t="shared" si="77"/>
        <v>0.99912513095998556</v>
      </c>
      <c r="T191" s="330">
        <f t="shared" si="78"/>
        <v>6.2459392366012771E-2</v>
      </c>
      <c r="U191" s="331">
        <f t="shared" si="79"/>
        <v>12.299708779938607</v>
      </c>
      <c r="V191" s="332">
        <f t="shared" si="80"/>
        <v>-119.18724131696277</v>
      </c>
      <c r="W191" s="334">
        <f t="shared" si="81"/>
        <v>60.812758683037231</v>
      </c>
      <c r="Y191" s="307">
        <f t="shared" si="82"/>
        <v>1000000000</v>
      </c>
      <c r="Z191" s="307">
        <f t="shared" si="83"/>
        <v>116154506.25</v>
      </c>
      <c r="AB191" s="333">
        <f t="shared" si="84"/>
        <v>35.295485121344882</v>
      </c>
      <c r="AC191" s="334">
        <f t="shared" si="85"/>
        <v>-27.241024556255446</v>
      </c>
      <c r="AE191" s="333">
        <f t="shared" si="86"/>
        <v>1.4503957031328794</v>
      </c>
      <c r="AF191" s="334">
        <f t="shared" si="87"/>
        <v>-89.532729602308706</v>
      </c>
      <c r="AH191">
        <f t="shared" si="88"/>
        <v>0</v>
      </c>
      <c r="AI191">
        <f t="shared" si="93"/>
        <v>0</v>
      </c>
    </row>
    <row r="192" spans="1:35" x14ac:dyDescent="0.25">
      <c r="A192" s="335">
        <v>10840</v>
      </c>
      <c r="B192" s="352">
        <f t="shared" si="89"/>
        <v>10.84</v>
      </c>
      <c r="C192" s="325">
        <f t="shared" si="62"/>
        <v>23.110484338849894</v>
      </c>
      <c r="D192" s="326">
        <f t="shared" si="63"/>
        <v>1.5275124084141738</v>
      </c>
      <c r="E192" s="326">
        <f t="shared" si="64"/>
        <v>1.0003710459734068</v>
      </c>
      <c r="F192" s="327">
        <f t="shared" si="65"/>
        <v>2.7237154053214745E-2</v>
      </c>
      <c r="G192" s="326">
        <f t="shared" si="66"/>
        <v>1</v>
      </c>
      <c r="H192" s="327">
        <f t="shared" si="67"/>
        <v>0</v>
      </c>
      <c r="I192" s="325">
        <f t="shared" si="68"/>
        <v>3576.9287034221961</v>
      </c>
      <c r="J192" s="328">
        <f t="shared" si="69"/>
        <v>1.5705167573385443</v>
      </c>
      <c r="K192" s="336">
        <f t="shared" si="94"/>
        <v>2.7204632218396627</v>
      </c>
      <c r="L192" s="337">
        <f t="shared" si="95"/>
        <v>1.1943860277637626</v>
      </c>
      <c r="M192" s="325">
        <f t="shared" si="72"/>
        <v>1.0048110681457285</v>
      </c>
      <c r="N192" s="337">
        <f t="shared" si="73"/>
        <v>9.7896459146402923E-2</v>
      </c>
      <c r="O192" s="343">
        <f t="shared" si="74"/>
        <v>1.0019819438845161</v>
      </c>
      <c r="P192" s="691">
        <f t="shared" si="75"/>
        <v>6.2907487522712482E-2</v>
      </c>
      <c r="Q192" s="336">
        <f t="shared" si="90"/>
        <v>4.1795159341231818</v>
      </c>
      <c r="R192" s="692">
        <f t="shared" si="76"/>
        <v>0.10527160859463489</v>
      </c>
      <c r="S192" s="329">
        <f t="shared" si="77"/>
        <v>0.99911499702618056</v>
      </c>
      <c r="T192" s="330">
        <f t="shared" si="78"/>
        <v>6.2822715695836667E-2</v>
      </c>
      <c r="U192" s="331">
        <f t="shared" si="79"/>
        <v>12.242056486504387</v>
      </c>
      <c r="V192" s="332">
        <f t="shared" si="80"/>
        <v>-119.14595941424248</v>
      </c>
      <c r="W192" s="334">
        <f t="shared" si="81"/>
        <v>60.854040585757517</v>
      </c>
      <c r="Y192" s="307">
        <f t="shared" si="82"/>
        <v>1000000000</v>
      </c>
      <c r="Z192" s="307">
        <f t="shared" si="83"/>
        <v>117505600</v>
      </c>
      <c r="AB192" s="333">
        <f t="shared" si="84"/>
        <v>35.288187701694355</v>
      </c>
      <c r="AC192" s="334">
        <f t="shared" si="85"/>
        <v>-27.159757319209806</v>
      </c>
      <c r="AE192" s="333">
        <f t="shared" si="86"/>
        <v>1.4003904083149141</v>
      </c>
      <c r="AF192" s="334">
        <f t="shared" si="87"/>
        <v>-89.558916752056703</v>
      </c>
      <c r="AH192">
        <f t="shared" si="88"/>
        <v>0</v>
      </c>
      <c r="AI192">
        <f t="shared" si="93"/>
        <v>0</v>
      </c>
    </row>
    <row r="193" spans="1:35" x14ac:dyDescent="0.25">
      <c r="A193" s="335">
        <v>10902.5</v>
      </c>
      <c r="B193" s="352">
        <f t="shared" si="89"/>
        <v>10.9025</v>
      </c>
      <c r="C193" s="325">
        <f t="shared" si="62"/>
        <v>23.243483287940698</v>
      </c>
      <c r="D193" s="326">
        <f t="shared" si="63"/>
        <v>1.5277602319650301</v>
      </c>
      <c r="E193" s="326">
        <f t="shared" si="64"/>
        <v>1.0003753361698078</v>
      </c>
      <c r="F193" s="327">
        <f t="shared" si="65"/>
        <v>2.7394116510524768E-2</v>
      </c>
      <c r="G193" s="326">
        <f t="shared" si="66"/>
        <v>1</v>
      </c>
      <c r="H193" s="327">
        <f t="shared" si="67"/>
        <v>0</v>
      </c>
      <c r="I193" s="325">
        <f t="shared" si="68"/>
        <v>3597.5521376049342</v>
      </c>
      <c r="J193" s="328">
        <f t="shared" si="69"/>
        <v>1.5705183600067507</v>
      </c>
      <c r="K193" s="336">
        <f t="shared" si="94"/>
        <v>2.7340344321683254</v>
      </c>
      <c r="L193" s="337">
        <f t="shared" si="95"/>
        <v>1.1963472435452451</v>
      </c>
      <c r="M193" s="325">
        <f t="shared" si="72"/>
        <v>1.0048665715333667</v>
      </c>
      <c r="N193" s="337">
        <f t="shared" si="73"/>
        <v>9.845726873251831E-2</v>
      </c>
      <c r="O193" s="343">
        <f t="shared" si="74"/>
        <v>1.0020048413592524</v>
      </c>
      <c r="P193" s="691">
        <f t="shared" si="75"/>
        <v>6.3269227731043279E-2</v>
      </c>
      <c r="Q193" s="336">
        <f t="shared" si="90"/>
        <v>4.1797806080612236</v>
      </c>
      <c r="R193" s="692">
        <f t="shared" si="76"/>
        <v>0.1058741132567473</v>
      </c>
      <c r="S193" s="329">
        <f t="shared" si="77"/>
        <v>0.99910480547940628</v>
      </c>
      <c r="T193" s="330">
        <f t="shared" si="78"/>
        <v>6.3186058348712021E-2</v>
      </c>
      <c r="U193" s="331">
        <f t="shared" si="79"/>
        <v>12.184793878532204</v>
      </c>
      <c r="V193" s="332">
        <f t="shared" si="80"/>
        <v>-119.10563262048947</v>
      </c>
      <c r="W193" s="334">
        <f t="shared" si="81"/>
        <v>60.894367379510527</v>
      </c>
      <c r="Y193" s="307">
        <f t="shared" si="82"/>
        <v>1000000000</v>
      </c>
      <c r="Z193" s="307">
        <f t="shared" si="83"/>
        <v>118864506.25</v>
      </c>
      <c r="AB193" s="333">
        <f t="shared" si="84"/>
        <v>35.280994082151771</v>
      </c>
      <c r="AC193" s="334">
        <f t="shared" si="85"/>
        <v>-27.079611780643898</v>
      </c>
      <c r="AE193" s="333">
        <f t="shared" si="86"/>
        <v>1.3506729598190303</v>
      </c>
      <c r="AF193" s="334">
        <f t="shared" si="87"/>
        <v>-89.584940709795433</v>
      </c>
      <c r="AH193">
        <f t="shared" si="88"/>
        <v>0</v>
      </c>
      <c r="AI193">
        <f t="shared" si="93"/>
        <v>0</v>
      </c>
    </row>
    <row r="194" spans="1:35" x14ac:dyDescent="0.25">
      <c r="A194" s="335">
        <v>10965</v>
      </c>
      <c r="B194" s="352">
        <f t="shared" si="89"/>
        <v>10.965</v>
      </c>
      <c r="C194" s="325">
        <f t="shared" si="62"/>
        <v>23.376483648321415</v>
      </c>
      <c r="D194" s="326">
        <f t="shared" si="63"/>
        <v>1.528005235549645</v>
      </c>
      <c r="E194" s="326">
        <f t="shared" si="64"/>
        <v>1.0003796510124572</v>
      </c>
      <c r="F194" s="327">
        <f t="shared" si="65"/>
        <v>2.755107761767929E-2</v>
      </c>
      <c r="G194" s="326">
        <f t="shared" si="66"/>
        <v>1</v>
      </c>
      <c r="H194" s="327">
        <f t="shared" si="67"/>
        <v>0</v>
      </c>
      <c r="I194" s="325">
        <f t="shared" si="68"/>
        <v>3618.1755717968072</v>
      </c>
      <c r="J194" s="328">
        <f t="shared" si="69"/>
        <v>1.5705199444046871</v>
      </c>
      <c r="K194" s="336">
        <f t="shared" si="94"/>
        <v>2.7476160546906132</v>
      </c>
      <c r="L194" s="337">
        <f t="shared" si="95"/>
        <v>1.1982890779319089</v>
      </c>
      <c r="M194" s="325">
        <f t="shared" si="72"/>
        <v>1.0049223909240008</v>
      </c>
      <c r="N194" s="337">
        <f t="shared" si="73"/>
        <v>9.9018016193549885E-2</v>
      </c>
      <c r="O194" s="343">
        <f t="shared" si="74"/>
        <v>1.0020278699463101</v>
      </c>
      <c r="P194" s="691">
        <f t="shared" si="75"/>
        <v>6.3630951359691629E-2</v>
      </c>
      <c r="Q194" s="336">
        <f t="shared" si="90"/>
        <v>4.1800467867361535</v>
      </c>
      <c r="R194" s="692">
        <f t="shared" si="76"/>
        <v>0.10647654171745845</v>
      </c>
      <c r="S194" s="329">
        <f t="shared" si="77"/>
        <v>0.99909455633673094</v>
      </c>
      <c r="T194" s="330">
        <f t="shared" si="78"/>
        <v>6.3549420436046E-2</v>
      </c>
      <c r="U194" s="331">
        <f t="shared" si="79"/>
        <v>12.127915535295788</v>
      </c>
      <c r="V194" s="332">
        <f t="shared" si="80"/>
        <v>-119.06624789518116</v>
      </c>
      <c r="W194" s="334">
        <f t="shared" si="81"/>
        <v>60.933752104818836</v>
      </c>
      <c r="Y194" s="307">
        <f t="shared" si="82"/>
        <v>1000000000</v>
      </c>
      <c r="Z194" s="307">
        <f t="shared" si="83"/>
        <v>120231225</v>
      </c>
      <c r="AB194" s="333">
        <f t="shared" si="84"/>
        <v>35.273902105495296</v>
      </c>
      <c r="AC194" s="334">
        <f t="shared" si="85"/>
        <v>-27.000572107888988</v>
      </c>
      <c r="AE194" s="333">
        <f t="shared" si="86"/>
        <v>1.3012400931126509</v>
      </c>
      <c r="AF194" s="334">
        <f t="shared" si="87"/>
        <v>-89.610804286240636</v>
      </c>
      <c r="AH194">
        <f t="shared" si="88"/>
        <v>0</v>
      </c>
      <c r="AI194">
        <f t="shared" si="93"/>
        <v>0</v>
      </c>
    </row>
    <row r="195" spans="1:35" x14ac:dyDescent="0.25">
      <c r="A195" s="335">
        <v>11028.75</v>
      </c>
      <c r="B195" s="352">
        <f t="shared" si="89"/>
        <v>11.02875</v>
      </c>
      <c r="C195" s="325">
        <f t="shared" si="62"/>
        <v>23.512145444983261</v>
      </c>
      <c r="D195" s="326">
        <f t="shared" si="63"/>
        <v>1.5282522836751995</v>
      </c>
      <c r="E195" s="326">
        <f t="shared" si="64"/>
        <v>1.0003840775421942</v>
      </c>
      <c r="F195" s="327">
        <f t="shared" si="65"/>
        <v>2.7711176548044166E-2</v>
      </c>
      <c r="G195" s="326">
        <f t="shared" si="66"/>
        <v>1</v>
      </c>
      <c r="H195" s="327">
        <f t="shared" si="67"/>
        <v>0</v>
      </c>
      <c r="I195" s="325">
        <f t="shared" si="68"/>
        <v>3639.2114746817679</v>
      </c>
      <c r="J195" s="328">
        <f t="shared" si="69"/>
        <v>1.5705215419906768</v>
      </c>
      <c r="K195" s="336">
        <f t="shared" si="94"/>
        <v>2.7614798769808693</v>
      </c>
      <c r="L195" s="337">
        <f t="shared" si="95"/>
        <v>1.200250063789094</v>
      </c>
      <c r="M195" s="325">
        <f t="shared" si="72"/>
        <v>1.0049796521941257</v>
      </c>
      <c r="N195" s="337">
        <f t="shared" si="73"/>
        <v>9.958991424759614E-2</v>
      </c>
      <c r="O195" s="343">
        <f t="shared" si="74"/>
        <v>1.0020514941676477</v>
      </c>
      <c r="P195" s="691">
        <f t="shared" si="75"/>
        <v>6.3999892283545551E-2</v>
      </c>
      <c r="Q195" s="336">
        <f t="shared" si="90"/>
        <v>4.1803198388664429</v>
      </c>
      <c r="R195" s="692">
        <f t="shared" si="76"/>
        <v>0.10709093981191703</v>
      </c>
      <c r="S195" s="329">
        <f t="shared" si="77"/>
        <v>0.999084042893709</v>
      </c>
      <c r="T195" s="330">
        <f t="shared" si="78"/>
        <v>6.3920069902042534E-2</v>
      </c>
      <c r="U195" s="331">
        <f t="shared" si="79"/>
        <v>12.070289986109357</v>
      </c>
      <c r="V195" s="332">
        <f t="shared" si="80"/>
        <v>-119.0270326935017</v>
      </c>
      <c r="W195" s="334">
        <f t="shared" si="81"/>
        <v>60.972967306498305</v>
      </c>
      <c r="Y195" s="307">
        <f t="shared" si="82"/>
        <v>1000000000</v>
      </c>
      <c r="Z195" s="307">
        <f t="shared" si="83"/>
        <v>121633326.5625</v>
      </c>
      <c r="AB195" s="333">
        <f t="shared" si="84"/>
        <v>35.266770820080204</v>
      </c>
      <c r="AC195" s="334">
        <f t="shared" si="85"/>
        <v>-26.921074774239816</v>
      </c>
      <c r="AE195" s="333">
        <f t="shared" si="86"/>
        <v>1.2511084172704654</v>
      </c>
      <c r="AF195" s="334">
        <f t="shared" si="87"/>
        <v>-89.637022758267392</v>
      </c>
      <c r="AH195">
        <f t="shared" si="88"/>
        <v>0</v>
      </c>
      <c r="AI195">
        <f t="shared" si="93"/>
        <v>0</v>
      </c>
    </row>
    <row r="196" spans="1:35" x14ac:dyDescent="0.25">
      <c r="A196" s="335">
        <v>11092.5</v>
      </c>
      <c r="B196" s="352">
        <f t="shared" si="89"/>
        <v>11.092499999999999</v>
      </c>
      <c r="C196" s="325">
        <f t="shared" si="62"/>
        <v>23.647808660191938</v>
      </c>
      <c r="D196" s="326">
        <f t="shared" si="63"/>
        <v>1.5284964972743968</v>
      </c>
      <c r="E196" s="326">
        <f t="shared" si="64"/>
        <v>1.0003885297132158</v>
      </c>
      <c r="F196" s="327">
        <f t="shared" si="65"/>
        <v>2.7871274057490604E-2</v>
      </c>
      <c r="G196" s="326">
        <f t="shared" si="66"/>
        <v>1</v>
      </c>
      <c r="H196" s="327">
        <f t="shared" si="67"/>
        <v>0</v>
      </c>
      <c r="I196" s="325">
        <f t="shared" si="68"/>
        <v>3660.2473775759099</v>
      </c>
      <c r="J196" s="328">
        <f t="shared" si="69"/>
        <v>1.5705231212136108</v>
      </c>
      <c r="K196" s="336">
        <f t="shared" si="94"/>
        <v>2.7753542123304613</v>
      </c>
      <c r="L196" s="337">
        <f t="shared" si="95"/>
        <v>1.2021914506331961</v>
      </c>
      <c r="M196" s="325">
        <f t="shared" si="72"/>
        <v>1.0050372421227993</v>
      </c>
      <c r="N196" s="337">
        <f t="shared" si="73"/>
        <v>0.10016174694766196</v>
      </c>
      <c r="O196" s="343">
        <f t="shared" si="74"/>
        <v>1.0020752547791927</v>
      </c>
      <c r="P196" s="691">
        <f t="shared" si="75"/>
        <v>6.436881576139955E-2</v>
      </c>
      <c r="Q196" s="336">
        <f t="shared" si="90"/>
        <v>4.1805944559192803</v>
      </c>
      <c r="R196" s="692">
        <f t="shared" si="76"/>
        <v>0.10770525774975521</v>
      </c>
      <c r="S196" s="329">
        <f t="shared" si="77"/>
        <v>0.99907346956409682</v>
      </c>
      <c r="T196" s="330">
        <f t="shared" si="78"/>
        <v>6.4290739821783391E-2</v>
      </c>
      <c r="U196" s="331">
        <f t="shared" si="79"/>
        <v>12.013053175318337</v>
      </c>
      <c r="V196" s="332">
        <f t="shared" si="80"/>
        <v>-118.98877088979752</v>
      </c>
      <c r="W196" s="334">
        <f t="shared" si="81"/>
        <v>61.011229110202478</v>
      </c>
      <c r="Y196" s="307">
        <f t="shared" si="82"/>
        <v>1000000000</v>
      </c>
      <c r="Z196" s="307">
        <f t="shared" si="83"/>
        <v>123043556.25</v>
      </c>
      <c r="AB196" s="333">
        <f t="shared" si="84"/>
        <v>35.259740917691055</v>
      </c>
      <c r="AC196" s="334">
        <f t="shared" si="85"/>
        <v>-26.842695584691345</v>
      </c>
      <c r="AE196" s="333">
        <f t="shared" si="86"/>
        <v>1.201266133741181</v>
      </c>
      <c r="AF196" s="334">
        <f t="shared" si="87"/>
        <v>-89.663080077222645</v>
      </c>
      <c r="AH196">
        <f t="shared" si="88"/>
        <v>0</v>
      </c>
      <c r="AI196">
        <f t="shared" si="93"/>
        <v>0</v>
      </c>
    </row>
    <row r="197" spans="1:35" x14ac:dyDescent="0.25">
      <c r="A197" s="335">
        <v>11156.25</v>
      </c>
      <c r="B197" s="352">
        <f t="shared" si="89"/>
        <v>11.15625</v>
      </c>
      <c r="C197" s="325">
        <f t="shared" si="62"/>
        <v>23.783473269672864</v>
      </c>
      <c r="D197" s="326">
        <f t="shared" si="63"/>
        <v>1.5287379248235848</v>
      </c>
      <c r="E197" s="326">
        <f t="shared" si="64"/>
        <v>1.0003930075251801</v>
      </c>
      <c r="F197" s="327">
        <f t="shared" si="65"/>
        <v>2.8031370137830639E-2</v>
      </c>
      <c r="G197" s="326">
        <f t="shared" si="66"/>
        <v>1</v>
      </c>
      <c r="H197" s="327">
        <f t="shared" si="67"/>
        <v>0</v>
      </c>
      <c r="I197" s="325">
        <f t="shared" si="68"/>
        <v>3681.283280479076</v>
      </c>
      <c r="J197" s="328">
        <f t="shared" si="69"/>
        <v>1.5705246823882841</v>
      </c>
      <c r="K197" s="336">
        <f t="shared" si="94"/>
        <v>2.789238903856047</v>
      </c>
      <c r="L197" s="337">
        <f t="shared" si="95"/>
        <v>1.2041135164086714</v>
      </c>
      <c r="M197" s="325">
        <f t="shared" si="72"/>
        <v>1.0050951606535277</v>
      </c>
      <c r="N197" s="337">
        <f t="shared" si="73"/>
        <v>0.10073351393104345</v>
      </c>
      <c r="O197" s="343">
        <f t="shared" si="74"/>
        <v>1.0020991517712432</v>
      </c>
      <c r="P197" s="691">
        <f t="shared" si="75"/>
        <v>6.473772169407388E-2</v>
      </c>
      <c r="Q197" s="336">
        <f t="shared" si="90"/>
        <v>4.1808706375863141</v>
      </c>
      <c r="R197" s="692">
        <f t="shared" si="76"/>
        <v>0.1083194950888207</v>
      </c>
      <c r="S197" s="329">
        <f t="shared" si="77"/>
        <v>0.99906283636632565</v>
      </c>
      <c r="T197" s="330">
        <f t="shared" si="78"/>
        <v>6.4661430313494125E-2</v>
      </c>
      <c r="U197" s="331">
        <f t="shared" si="79"/>
        <v>11.956199690237032</v>
      </c>
      <c r="V197" s="332">
        <f t="shared" si="80"/>
        <v>-118.95144932136165</v>
      </c>
      <c r="W197" s="334">
        <f t="shared" si="81"/>
        <v>61.04855067863835</v>
      </c>
      <c r="Y197" s="307">
        <f t="shared" si="82"/>
        <v>1000000000</v>
      </c>
      <c r="Z197" s="307">
        <f t="shared" si="83"/>
        <v>124461914.0625</v>
      </c>
      <c r="AB197" s="333">
        <f t="shared" si="84"/>
        <v>35.25281027522918</v>
      </c>
      <c r="AC197" s="334">
        <f t="shared" si="85"/>
        <v>-26.765418611454322</v>
      </c>
      <c r="AE197" s="333">
        <f t="shared" si="86"/>
        <v>1.1517099518292557</v>
      </c>
      <c r="AF197" s="334">
        <f t="shared" si="87"/>
        <v>-89.688979027839466</v>
      </c>
      <c r="AH197">
        <f t="shared" si="88"/>
        <v>0</v>
      </c>
      <c r="AI197">
        <f t="shared" si="93"/>
        <v>0</v>
      </c>
    </row>
    <row r="198" spans="1:35" x14ac:dyDescent="0.25">
      <c r="A198" s="335">
        <v>11220</v>
      </c>
      <c r="B198" s="352">
        <f t="shared" si="89"/>
        <v>11.22</v>
      </c>
      <c r="C198" s="325">
        <f t="shared" si="62"/>
        <v>23.919139249701932</v>
      </c>
      <c r="D198" s="326">
        <f t="shared" si="63"/>
        <v>1.5289766137006235</v>
      </c>
      <c r="E198" s="326">
        <f t="shared" si="64"/>
        <v>1.0003975109777421</v>
      </c>
      <c r="F198" s="327">
        <f t="shared" si="65"/>
        <v>2.8191464780876759E-2</v>
      </c>
      <c r="G198" s="326">
        <f t="shared" si="66"/>
        <v>1</v>
      </c>
      <c r="H198" s="327">
        <f t="shared" si="67"/>
        <v>0</v>
      </c>
      <c r="I198" s="325">
        <f t="shared" si="68"/>
        <v>3702.3191833911128</v>
      </c>
      <c r="J198" s="328">
        <f t="shared" si="69"/>
        <v>1.5705262258223374</v>
      </c>
      <c r="K198" s="336">
        <f t="shared" si="94"/>
        <v>2.8031337976666788</v>
      </c>
      <c r="L198" s="337">
        <f t="shared" si="95"/>
        <v>1.2060165341262001</v>
      </c>
      <c r="M198" s="325">
        <f t="shared" si="72"/>
        <v>1.0051534077295068</v>
      </c>
      <c r="N198" s="337">
        <f t="shared" si="73"/>
        <v>0.10130521483529187</v>
      </c>
      <c r="O198" s="343">
        <f t="shared" si="74"/>
        <v>1.0021231851340424</v>
      </c>
      <c r="P198" s="691">
        <f t="shared" si="75"/>
        <v>6.5106609982417338E-2</v>
      </c>
      <c r="Q198" s="336">
        <f t="shared" si="90"/>
        <v>4.1811483835575185</v>
      </c>
      <c r="R198" s="692">
        <f t="shared" si="76"/>
        <v>0.10893365138731899</v>
      </c>
      <c r="S198" s="329">
        <f t="shared" si="77"/>
        <v>0.99905214331893422</v>
      </c>
      <c r="T198" s="330">
        <f t="shared" si="78"/>
        <v>6.5032141495400014E-2</v>
      </c>
      <c r="U198" s="331">
        <f t="shared" si="79"/>
        <v>11.899724226759812</v>
      </c>
      <c r="V198" s="332">
        <f t="shared" si="80"/>
        <v>-118.91505504485626</v>
      </c>
      <c r="W198" s="334">
        <f t="shared" si="81"/>
        <v>61.08494495514374</v>
      </c>
      <c r="Y198" s="307">
        <f t="shared" si="82"/>
        <v>1000000000</v>
      </c>
      <c r="Z198" s="307">
        <f t="shared" si="83"/>
        <v>125888400</v>
      </c>
      <c r="AB198" s="333">
        <f t="shared" si="84"/>
        <v>35.245976822322177</v>
      </c>
      <c r="AC198" s="334">
        <f t="shared" si="85"/>
        <v>-26.689228209028695</v>
      </c>
      <c r="AE198" s="333">
        <f t="shared" si="86"/>
        <v>1.1024366366871212</v>
      </c>
      <c r="AF198" s="334">
        <f t="shared" si="87"/>
        <v>-89.714722331912256</v>
      </c>
      <c r="AH198">
        <f t="shared" si="88"/>
        <v>0</v>
      </c>
      <c r="AI198">
        <f t="shared" si="93"/>
        <v>0</v>
      </c>
    </row>
    <row r="199" spans="1:35" x14ac:dyDescent="0.25">
      <c r="A199" s="335">
        <v>11285.5</v>
      </c>
      <c r="B199" s="352">
        <f t="shared" si="89"/>
        <v>11.285500000000001</v>
      </c>
      <c r="C199" s="325">
        <f t="shared" si="62"/>
        <v>24.058530797017575</v>
      </c>
      <c r="D199" s="326">
        <f t="shared" si="63"/>
        <v>1.5292190510169452</v>
      </c>
      <c r="E199" s="326">
        <f t="shared" si="64"/>
        <v>1.0004021647601766</v>
      </c>
      <c r="F199" s="327">
        <f t="shared" si="65"/>
        <v>2.8355952673206567E-2</v>
      </c>
      <c r="G199" s="326">
        <f t="shared" si="66"/>
        <v>1</v>
      </c>
      <c r="H199" s="327">
        <f t="shared" si="67"/>
        <v>0</v>
      </c>
      <c r="I199" s="325">
        <f t="shared" si="68"/>
        <v>3723.9325424705994</v>
      </c>
      <c r="J199" s="328">
        <f t="shared" si="69"/>
        <v>1.5705277934633677</v>
      </c>
      <c r="K199" s="336">
        <f t="shared" si="94"/>
        <v>2.8174205875000644</v>
      </c>
      <c r="L199" s="337">
        <f t="shared" si="95"/>
        <v>1.2079522338225719</v>
      </c>
      <c r="M199" s="325">
        <f t="shared" si="72"/>
        <v>1.0052135958821671</v>
      </c>
      <c r="N199" s="337">
        <f t="shared" si="73"/>
        <v>0.10189254028422487</v>
      </c>
      <c r="O199" s="343">
        <f t="shared" si="74"/>
        <v>1.0021480202632969</v>
      </c>
      <c r="P199" s="691">
        <f t="shared" si="75"/>
        <v>6.5485606134234986E-2</v>
      </c>
      <c r="Q199" s="336">
        <f t="shared" si="90"/>
        <v>4.1814353829063871</v>
      </c>
      <c r="R199" s="692">
        <f t="shared" si="76"/>
        <v>0.1095645820062765</v>
      </c>
      <c r="S199" s="329">
        <f t="shared" si="77"/>
        <v>0.9990410944199406</v>
      </c>
      <c r="T199" s="330">
        <f t="shared" si="78"/>
        <v>6.5413050736896114E-2</v>
      </c>
      <c r="U199" s="331">
        <f t="shared" si="79"/>
        <v>11.842086722960074</v>
      </c>
      <c r="V199" s="332">
        <f t="shared" si="80"/>
        <v>-118.87861415705355</v>
      </c>
      <c r="W199" s="334">
        <f t="shared" si="81"/>
        <v>61.121385842946452</v>
      </c>
      <c r="Y199" s="307">
        <f t="shared" si="82"/>
        <v>1000000000</v>
      </c>
      <c r="Z199" s="307">
        <f t="shared" si="83"/>
        <v>127362510.25</v>
      </c>
      <c r="AB199" s="333">
        <f t="shared" si="84"/>
        <v>35.239054890567601</v>
      </c>
      <c r="AC199" s="334">
        <f t="shared" si="85"/>
        <v>-26.61206187457298</v>
      </c>
      <c r="AE199" s="333">
        <f t="shared" si="86"/>
        <v>1.0521019992133391</v>
      </c>
      <c r="AF199" s="334">
        <f t="shared" si="87"/>
        <v>-89.741012996867752</v>
      </c>
      <c r="AH199">
        <f t="shared" si="88"/>
        <v>0</v>
      </c>
      <c r="AI199">
        <f t="shared" si="93"/>
        <v>0</v>
      </c>
    </row>
    <row r="200" spans="1:35" x14ac:dyDescent="0.25">
      <c r="A200" s="335">
        <v>11351</v>
      </c>
      <c r="B200" s="352">
        <f t="shared" si="89"/>
        <v>11.351000000000001</v>
      </c>
      <c r="C200" s="325">
        <f t="shared" si="62"/>
        <v>24.1979237421025</v>
      </c>
      <c r="D200" s="326">
        <f t="shared" si="63"/>
        <v>1.5294586952107581</v>
      </c>
      <c r="E200" s="326">
        <f t="shared" si="64"/>
        <v>1.0004068456095065</v>
      </c>
      <c r="F200" s="327">
        <f t="shared" si="65"/>
        <v>2.8520439030726895E-2</v>
      </c>
      <c r="G200" s="326">
        <f t="shared" si="66"/>
        <v>1</v>
      </c>
      <c r="H200" s="327">
        <f t="shared" si="67"/>
        <v>0</v>
      </c>
      <c r="I200" s="325">
        <f t="shared" si="68"/>
        <v>3745.5459015591327</v>
      </c>
      <c r="J200" s="328">
        <f t="shared" si="69"/>
        <v>1.5705293430125156</v>
      </c>
      <c r="K200" s="336">
        <f t="shared" si="94"/>
        <v>2.8317178274748338</v>
      </c>
      <c r="L200" s="337">
        <f t="shared" si="95"/>
        <v>1.2098683940841357</v>
      </c>
      <c r="M200" s="325">
        <f t="shared" si="72"/>
        <v>1.0052741307428554</v>
      </c>
      <c r="N200" s="337">
        <f t="shared" si="73"/>
        <v>0.10247979520144519</v>
      </c>
      <c r="O200" s="343">
        <f t="shared" si="74"/>
        <v>1.0021729993320254</v>
      </c>
      <c r="P200" s="691">
        <f t="shared" si="75"/>
        <v>6.5864583447598338E-2</v>
      </c>
      <c r="Q200" s="336">
        <f t="shared" si="90"/>
        <v>4.1817240329526113</v>
      </c>
      <c r="R200" s="692">
        <f t="shared" si="76"/>
        <v>0.11019542612991257</v>
      </c>
      <c r="S200" s="329">
        <f t="shared" si="77"/>
        <v>0.99902998238039076</v>
      </c>
      <c r="T200" s="330">
        <f t="shared" si="78"/>
        <v>6.5793982073146601E-2</v>
      </c>
      <c r="U200" s="331">
        <f t="shared" si="79"/>
        <v>11.784837267685258</v>
      </c>
      <c r="V200" s="332">
        <f t="shared" si="80"/>
        <v>-118.84312516193245</v>
      </c>
      <c r="W200" s="334">
        <f t="shared" si="81"/>
        <v>61.156874838067552</v>
      </c>
      <c r="Y200" s="307">
        <f t="shared" si="82"/>
        <v>1000000000</v>
      </c>
      <c r="Z200" s="307">
        <f t="shared" si="83"/>
        <v>128845201</v>
      </c>
      <c r="AB200" s="333">
        <f t="shared" si="84"/>
        <v>35.232231290768105</v>
      </c>
      <c r="AC200" s="334">
        <f t="shared" si="85"/>
        <v>-26.536009989509139</v>
      </c>
      <c r="AE200" s="333">
        <f t="shared" si="86"/>
        <v>1.002059223869407</v>
      </c>
      <c r="AF200" s="334">
        <f t="shared" si="87"/>
        <v>-89.767144981565934</v>
      </c>
      <c r="AH200">
        <f t="shared" si="88"/>
        <v>0</v>
      </c>
      <c r="AI200">
        <f t="shared" si="93"/>
        <v>0</v>
      </c>
    </row>
    <row r="201" spans="1:35" x14ac:dyDescent="0.25">
      <c r="A201" s="335">
        <v>11416.5</v>
      </c>
      <c r="B201" s="352">
        <f t="shared" si="89"/>
        <v>11.416499999999999</v>
      </c>
      <c r="C201" s="325">
        <f t="shared" si="62"/>
        <v>24.337318060939371</v>
      </c>
      <c r="D201" s="326">
        <f t="shared" si="63"/>
        <v>1.5296955942479273</v>
      </c>
      <c r="E201" s="326">
        <f t="shared" si="64"/>
        <v>1.0004115535253524</v>
      </c>
      <c r="F201" s="327">
        <f t="shared" si="65"/>
        <v>2.8684923844558726E-2</v>
      </c>
      <c r="G201" s="326">
        <f t="shared" si="66"/>
        <v>1</v>
      </c>
      <c r="H201" s="327">
        <f t="shared" si="67"/>
        <v>0</v>
      </c>
      <c r="I201" s="325">
        <f t="shared" si="68"/>
        <v>3767.1592606565555</v>
      </c>
      <c r="J201" s="328">
        <f t="shared" si="69"/>
        <v>1.5705308747811768</v>
      </c>
      <c r="K201" s="336">
        <f t="shared" si="94"/>
        <v>2.8460253600995822</v>
      </c>
      <c r="L201" s="337">
        <f t="shared" si="95"/>
        <v>1.2117652954187097</v>
      </c>
      <c r="M201" s="325">
        <f t="shared" si="72"/>
        <v>1.0053350122489417</v>
      </c>
      <c r="N201" s="337">
        <f t="shared" si="73"/>
        <v>0.10306697919467923</v>
      </c>
      <c r="O201" s="343">
        <f t="shared" si="74"/>
        <v>1.0021981223294651</v>
      </c>
      <c r="P201" s="691">
        <f t="shared" si="75"/>
        <v>6.6243541815059745E-2</v>
      </c>
      <c r="Q201" s="336">
        <f t="shared" si="90"/>
        <v>4.1820143333544104</v>
      </c>
      <c r="R201" s="692">
        <f t="shared" si="76"/>
        <v>0.11082618328023393</v>
      </c>
      <c r="S201" s="329">
        <f t="shared" si="77"/>
        <v>0.99901880722074576</v>
      </c>
      <c r="T201" s="330">
        <f t="shared" si="78"/>
        <v>6.6174935632381984E-2</v>
      </c>
      <c r="U201" s="331">
        <f t="shared" si="79"/>
        <v>11.727970447886499</v>
      </c>
      <c r="V201" s="332">
        <f t="shared" si="80"/>
        <v>-118.80857471781158</v>
      </c>
      <c r="W201" s="334">
        <f t="shared" si="81"/>
        <v>61.191425282188419</v>
      </c>
      <c r="Y201" s="307">
        <f t="shared" si="82"/>
        <v>1000000000</v>
      </c>
      <c r="Z201" s="307">
        <f t="shared" si="83"/>
        <v>130336472.25</v>
      </c>
      <c r="AB201" s="333">
        <f t="shared" si="84"/>
        <v>35.225503941268173</v>
      </c>
      <c r="AC201" s="334">
        <f t="shared" si="85"/>
        <v>-26.461056477289102</v>
      </c>
      <c r="AE201" s="333">
        <f t="shared" si="86"/>
        <v>0.95230497803405967</v>
      </c>
      <c r="AF201" s="334">
        <f t="shared" si="87"/>
        <v>-89.793121042104246</v>
      </c>
      <c r="AH201">
        <f t="shared" si="88"/>
        <v>0</v>
      </c>
      <c r="AI201">
        <f t="shared" si="93"/>
        <v>0</v>
      </c>
    </row>
    <row r="202" spans="1:35" x14ac:dyDescent="0.25">
      <c r="A202" s="335">
        <v>11482</v>
      </c>
      <c r="B202" s="352">
        <f t="shared" si="89"/>
        <v>11.481999999999999</v>
      </c>
      <c r="C202" s="325">
        <f t="shared" si="62"/>
        <v>24.476713730057732</v>
      </c>
      <c r="D202" s="326">
        <f t="shared" si="63"/>
        <v>1.5299297950028983</v>
      </c>
      <c r="E202" s="326">
        <f t="shared" si="64"/>
        <v>1.0004162885073313</v>
      </c>
      <c r="F202" s="327">
        <f t="shared" si="65"/>
        <v>2.8849407105823576E-2</v>
      </c>
      <c r="G202" s="326">
        <f t="shared" si="66"/>
        <v>1</v>
      </c>
      <c r="H202" s="327">
        <f t="shared" si="67"/>
        <v>0</v>
      </c>
      <c r="I202" s="325">
        <f t="shared" si="68"/>
        <v>3788.7726197627171</v>
      </c>
      <c r="J202" s="328">
        <f t="shared" si="69"/>
        <v>1.5705323890736425</v>
      </c>
      <c r="K202" s="336">
        <f t="shared" si="94"/>
        <v>2.8603430309217659</v>
      </c>
      <c r="L202" s="337">
        <f t="shared" si="95"/>
        <v>1.2136432132781598</v>
      </c>
      <c r="M202" s="325">
        <f t="shared" si="72"/>
        <v>1.0053962403374535</v>
      </c>
      <c r="N202" s="337">
        <f t="shared" si="73"/>
        <v>0.10365409187194378</v>
      </c>
      <c r="O202" s="343">
        <f t="shared" si="74"/>
        <v>1.0022233892447927</v>
      </c>
      <c r="P202" s="691">
        <f t="shared" si="75"/>
        <v>6.6622481129204131E-2</v>
      </c>
      <c r="Q202" s="336">
        <f t="shared" si="90"/>
        <v>4.1823062837681473</v>
      </c>
      <c r="R202" s="692">
        <f t="shared" si="76"/>
        <v>0.11145685297965424</v>
      </c>
      <c r="S202" s="329">
        <f t="shared" si="77"/>
        <v>0.9990075689615866</v>
      </c>
      <c r="T202" s="330">
        <f t="shared" si="78"/>
        <v>6.6555911542832483E-2</v>
      </c>
      <c r="U202" s="331">
        <f t="shared" si="79"/>
        <v>11.671480959512266</v>
      </c>
      <c r="V202" s="332">
        <f t="shared" si="80"/>
        <v>-118.77494970979164</v>
      </c>
      <c r="W202" s="334">
        <f t="shared" si="81"/>
        <v>61.225050290208358</v>
      </c>
      <c r="Y202" s="307">
        <f t="shared" si="82"/>
        <v>1000000000</v>
      </c>
      <c r="Z202" s="307">
        <f t="shared" si="83"/>
        <v>131836324</v>
      </c>
      <c r="AB202" s="333">
        <f t="shared" si="84"/>
        <v>35.218870812598347</v>
      </c>
      <c r="AC202" s="334">
        <f t="shared" si="85"/>
        <v>-26.387185550659069</v>
      </c>
      <c r="AE202" s="333">
        <f t="shared" si="86"/>
        <v>0.90283598589083258</v>
      </c>
      <c r="AF202" s="334">
        <f t="shared" si="87"/>
        <v>-89.818943872046319</v>
      </c>
      <c r="AH202">
        <f t="shared" si="88"/>
        <v>0</v>
      </c>
      <c r="AI202">
        <f t="shared" si="93"/>
        <v>0</v>
      </c>
    </row>
    <row r="203" spans="1:35" x14ac:dyDescent="0.25">
      <c r="A203" s="335">
        <v>11548.75</v>
      </c>
      <c r="B203" s="352">
        <f t="shared" si="89"/>
        <v>11.54875</v>
      </c>
      <c r="C203" s="325">
        <f t="shared" si="62"/>
        <v>24.618770987302224</v>
      </c>
      <c r="D203" s="326">
        <f t="shared" si="63"/>
        <v>1.5301657366518673</v>
      </c>
      <c r="E203" s="326">
        <f t="shared" si="64"/>
        <v>1.0004211416970201</v>
      </c>
      <c r="F203" s="327">
        <f t="shared" si="65"/>
        <v>2.9017027754138731E-2</v>
      </c>
      <c r="G203" s="326">
        <f t="shared" si="66"/>
        <v>1</v>
      </c>
      <c r="H203" s="327">
        <f t="shared" si="67"/>
        <v>0</v>
      </c>
      <c r="I203" s="325">
        <f t="shared" si="68"/>
        <v>3810.7984475629464</v>
      </c>
      <c r="J203" s="328">
        <f t="shared" si="69"/>
        <v>1.5705339145930348</v>
      </c>
      <c r="K203" s="336">
        <f t="shared" si="94"/>
        <v>2.8749442131711191</v>
      </c>
      <c r="L203" s="337">
        <f t="shared" si="95"/>
        <v>1.2155377189532903</v>
      </c>
      <c r="M203" s="325">
        <f t="shared" si="72"/>
        <v>1.0054589934021705</v>
      </c>
      <c r="N203" s="337">
        <f t="shared" si="73"/>
        <v>0.10425233521363318</v>
      </c>
      <c r="O203" s="343">
        <f t="shared" si="74"/>
        <v>1.0022492864057733</v>
      </c>
      <c r="P203" s="691">
        <f t="shared" si="75"/>
        <v>6.7008632396264409E-2</v>
      </c>
      <c r="Q203" s="336">
        <f t="shared" si="90"/>
        <v>4.1826055029425158</v>
      </c>
      <c r="R203" s="692">
        <f t="shared" si="76"/>
        <v>0.1120994678961251</v>
      </c>
      <c r="S203" s="329">
        <f t="shared" si="77"/>
        <v>0.99899605133597702</v>
      </c>
      <c r="T203" s="330">
        <f t="shared" si="78"/>
        <v>6.6944181113798462E-2</v>
      </c>
      <c r="U203" s="331">
        <f t="shared" si="79"/>
        <v>11.614296247965237</v>
      </c>
      <c r="V203" s="332">
        <f t="shared" si="80"/>
        <v>-118.74162175215736</v>
      </c>
      <c r="W203" s="334">
        <f t="shared" si="81"/>
        <v>61.258378247842643</v>
      </c>
      <c r="Y203" s="307">
        <f t="shared" si="82"/>
        <v>1000000000</v>
      </c>
      <c r="Z203" s="307">
        <f t="shared" si="83"/>
        <v>133373626.5625</v>
      </c>
      <c r="AB203" s="333">
        <f t="shared" si="84"/>
        <v>35.21220598412755</v>
      </c>
      <c r="AC203" s="334">
        <f t="shared" si="85"/>
        <v>-26.313002595549094</v>
      </c>
      <c r="AE203" s="333">
        <f t="shared" si="86"/>
        <v>0.8527130664378908</v>
      </c>
      <c r="AF203" s="334">
        <f t="shared" si="87"/>
        <v>-89.845104584795493</v>
      </c>
      <c r="AH203">
        <f t="shared" si="88"/>
        <v>0</v>
      </c>
      <c r="AI203">
        <f t="shared" si="93"/>
        <v>0</v>
      </c>
    </row>
    <row r="204" spans="1:35" x14ac:dyDescent="0.25">
      <c r="A204" s="335">
        <v>11615.5</v>
      </c>
      <c r="B204" s="352">
        <f t="shared" si="89"/>
        <v>11.615500000000001</v>
      </c>
      <c r="C204" s="325">
        <f t="shared" si="62"/>
        <v>24.760829599310302</v>
      </c>
      <c r="D204" s="326">
        <f t="shared" si="63"/>
        <v>1.5303989710099661</v>
      </c>
      <c r="E204" s="326">
        <f t="shared" si="64"/>
        <v>1.0004260229949502</v>
      </c>
      <c r="F204" s="327">
        <f t="shared" si="65"/>
        <v>2.9184646771447598E-2</v>
      </c>
      <c r="G204" s="326">
        <f t="shared" si="66"/>
        <v>1</v>
      </c>
      <c r="H204" s="327">
        <f t="shared" si="67"/>
        <v>0</v>
      </c>
      <c r="I204" s="325">
        <f t="shared" si="68"/>
        <v>3832.8242753719423</v>
      </c>
      <c r="J204" s="328">
        <f t="shared" si="69"/>
        <v>1.5705354225792323</v>
      </c>
      <c r="K204" s="336">
        <f t="shared" si="94"/>
        <v>2.8895556097283346</v>
      </c>
      <c r="L204" s="337">
        <f t="shared" si="95"/>
        <v>1.2174130716966138</v>
      </c>
      <c r="M204" s="325">
        <f t="shared" si="72"/>
        <v>1.0055221062707398</v>
      </c>
      <c r="N204" s="337">
        <f t="shared" si="73"/>
        <v>0.10485050367037968</v>
      </c>
      <c r="O204" s="343">
        <f t="shared" si="74"/>
        <v>1.0022753330072161</v>
      </c>
      <c r="P204" s="691">
        <f t="shared" si="75"/>
        <v>6.7394763650709386E-2</v>
      </c>
      <c r="Q204" s="336">
        <f t="shared" si="90"/>
        <v>4.1829064349808567</v>
      </c>
      <c r="R204" s="692">
        <f t="shared" si="76"/>
        <v>0.11274199099187984</v>
      </c>
      <c r="S204" s="329">
        <f t="shared" si="77"/>
        <v>0.99898446822302833</v>
      </c>
      <c r="T204" s="330">
        <f t="shared" si="78"/>
        <v>6.7332474166102566E-2</v>
      </c>
      <c r="U204" s="331">
        <f t="shared" si="79"/>
        <v>11.55749261877258</v>
      </c>
      <c r="V204" s="332">
        <f t="shared" si="80"/>
        <v>-118.70922808970222</v>
      </c>
      <c r="W204" s="334">
        <f t="shared" si="81"/>
        <v>61.290771910297778</v>
      </c>
      <c r="Y204" s="307">
        <f t="shared" si="82"/>
        <v>1000000000</v>
      </c>
      <c r="Z204" s="307">
        <f t="shared" si="83"/>
        <v>134919840.25</v>
      </c>
      <c r="AB204" s="333">
        <f t="shared" si="84"/>
        <v>35.205634910370421</v>
      </c>
      <c r="AC204" s="334">
        <f t="shared" si="85"/>
        <v>-26.239911727428971</v>
      </c>
      <c r="AE204" s="333">
        <f t="shared" si="86"/>
        <v>0.80287969769264655</v>
      </c>
      <c r="AF204" s="334">
        <f t="shared" si="87"/>
        <v>-89.871111620035066</v>
      </c>
      <c r="AH204">
        <f t="shared" si="88"/>
        <v>0</v>
      </c>
      <c r="AI204">
        <f t="shared" si="93"/>
        <v>0</v>
      </c>
    </row>
    <row r="205" spans="1:35" x14ac:dyDescent="0.25">
      <c r="A205" s="335">
        <v>11682.25</v>
      </c>
      <c r="B205" s="352">
        <f t="shared" si="89"/>
        <v>11.68225</v>
      </c>
      <c r="C205" s="325">
        <f t="shared" ref="C205:C268" si="96">SQRT(1+(A205/pole1)^2)</f>
        <v>24.902889542897213</v>
      </c>
      <c r="D205" s="326">
        <f t="shared" ref="D205:D268" si="97">ATAN(A205/pole1)</f>
        <v>1.5306295443832822</v>
      </c>
      <c r="E205" s="326">
        <f t="shared" ref="E205:E268" si="98">SQRT(1+(A205/Zero1)^2)</f>
        <v>1.0004309324007101</v>
      </c>
      <c r="F205" s="327">
        <f t="shared" ref="F205:F268" si="99">ATAN(A205/Zero1)</f>
        <v>2.9352264148355216E-2</v>
      </c>
      <c r="G205" s="326">
        <f t="shared" ref="G205:G268" si="100">IF(VIN_nom&gt;Vout, 1, SQRT(1+(A205/z_RHP)^2))</f>
        <v>1</v>
      </c>
      <c r="H205" s="327">
        <f t="shared" ref="H205:H268" si="101">IF(VIN_nom&gt;Vout, 0, -ATAN(A205/z_RHP))</f>
        <v>0</v>
      </c>
      <c r="I205" s="325">
        <f t="shared" ref="I205:I268" si="102">SQRT(1+(A205/Pole2)^2)</f>
        <v>3854.8501031895548</v>
      </c>
      <c r="J205" s="328">
        <f t="shared" ref="J205:J268" si="103">ATAN(A205/Pole2)</f>
        <v>1.5705369133327782</v>
      </c>
      <c r="K205" s="336">
        <f t="shared" si="94"/>
        <v>2.9041770664237836</v>
      </c>
      <c r="L205" s="337">
        <f t="shared" si="95"/>
        <v>1.2192695475004154</v>
      </c>
      <c r="M205" s="325">
        <f t="shared" ref="M205:M268" si="104">SQRT(1+(A205/pole4)^2)</f>
        <v>1.0055855788754153</v>
      </c>
      <c r="N205" s="337">
        <f t="shared" ref="N205:N268" si="105">ATAN(A205/pole4)</f>
        <v>0.10544859682826768</v>
      </c>
      <c r="O205" s="343">
        <f t="shared" ref="O205:O268" si="106">IF(VOUT_setting=1,1,SQRT(1+(A205*zterm1)^2))</f>
        <v>1.0023015290374708</v>
      </c>
      <c r="P205" s="691">
        <f t="shared" ref="P205:P268" si="107">IF(VOUT_setting=1,0,ATAN(((A205*zterm1))))</f>
        <v>6.7780874778961456E-2</v>
      </c>
      <c r="Q205" s="336">
        <f t="shared" si="90"/>
        <v>4.183209079513535</v>
      </c>
      <c r="R205" s="692">
        <f t="shared" ref="R205:R268" si="108">IF(VOUT_setting=1,0,ATAN(A205*$Q$4/(1+Afbr-$Q$5*(A205)^2)))</f>
        <v>0.1133844217627818</v>
      </c>
      <c r="S205" s="329">
        <f t="shared" ref="S205:S268" si="109">SQRT((1-(Z205/pterm2))^2+(A205/pterm1)^2)</f>
        <v>0.99897281964490592</v>
      </c>
      <c r="T205" s="330">
        <f t="shared" ref="T205:T268" si="110">IF((ATAN((A205/pterm1)/(1-A205^2/pterm2))&gt;0),ATAN((A205/pterm1)/(1-A205^2/pterm2)),PI()+ATAN((A205/pterm1)/(1-A205^2/pterm2)))</f>
        <v>6.7720790835456499E-2</v>
      </c>
      <c r="U205" s="331">
        <f t="shared" ref="U205:U268" si="111">20*LOG10(((E205*K205*G205*O205)/(C205*I205*S205*M205*Q205))*Adc)</f>
        <v>11.501064789971354</v>
      </c>
      <c r="V205" s="332">
        <f t="shared" ref="V205:V268" si="112">((F205+L205+H205+P205)-(D205+J205+T205+N205+R205))*radconv</f>
        <v>-118.67775554181738</v>
      </c>
      <c r="W205" s="334">
        <f t="shared" ref="W205:W268" si="113">IF(V205&gt;0,V205,V205+180)</f>
        <v>61.322244458182624</v>
      </c>
      <c r="Y205" s="307">
        <f t="shared" ref="Y205:Y268" si="114">IF(U205&lt;0,A205,1000000000)</f>
        <v>1000000000</v>
      </c>
      <c r="Z205" s="307">
        <f t="shared" ref="Z205:Z268" si="115">A205^2</f>
        <v>136474965.0625</v>
      </c>
      <c r="AB205" s="333">
        <f t="shared" ref="AB205:AB268" si="116">20*LOG10((K205/(I205*M205))*AEA)</f>
        <v>35.199155601048176</v>
      </c>
      <c r="AC205" s="334">
        <f t="shared" ref="AC205:AC268" si="117">(L205-(J205+N205))*radconv</f>
        <v>-26.167897126609805</v>
      </c>
      <c r="AE205" s="333">
        <f t="shared" ref="AE205:AE268" si="118">20*LOG10((E205*G205/(C205*S205))*Acs*Am)</f>
        <v>0.75333258664378555</v>
      </c>
      <c r="AF205" s="334">
        <f t="shared" ref="AF205:AF268" si="119">(F205+H205-(D205+T205))*radconv</f>
        <v>-89.89696763922241</v>
      </c>
      <c r="AH205">
        <f t="shared" ref="AH205:AH268" si="120">SUM((U206&lt;0)*(U205&gt;0))*A205</f>
        <v>0</v>
      </c>
      <c r="AI205">
        <f t="shared" si="93"/>
        <v>0</v>
      </c>
    </row>
    <row r="206" spans="1:35" x14ac:dyDescent="0.25">
      <c r="A206" s="335">
        <v>11749</v>
      </c>
      <c r="B206" s="352">
        <f t="shared" ref="B206:B269" si="121">A206/1000</f>
        <v>11.749000000000001</v>
      </c>
      <c r="C206" s="325">
        <f t="shared" si="96"/>
        <v>25.044950795404009</v>
      </c>
      <c r="D206" s="326">
        <f t="shared" si="97"/>
        <v>1.5308575020284108</v>
      </c>
      <c r="E206" s="326">
        <f t="shared" si="98"/>
        <v>1.000435869913886</v>
      </c>
      <c r="F206" s="327">
        <f t="shared" si="99"/>
        <v>2.9519879875467198E-2</v>
      </c>
      <c r="G206" s="326">
        <f t="shared" si="100"/>
        <v>1</v>
      </c>
      <c r="H206" s="327">
        <f t="shared" si="101"/>
        <v>0</v>
      </c>
      <c r="I206" s="325">
        <f t="shared" si="102"/>
        <v>3876.8759310156365</v>
      </c>
      <c r="J206" s="328">
        <f t="shared" si="103"/>
        <v>1.5705383871473859</v>
      </c>
      <c r="K206" s="336">
        <f t="shared" si="94"/>
        <v>2.918808432071931</v>
      </c>
      <c r="L206" s="337">
        <f t="shared" si="95"/>
        <v>1.2211074173492209</v>
      </c>
      <c r="M206" s="325">
        <f t="shared" si="104"/>
        <v>1.0056494111480818</v>
      </c>
      <c r="N206" s="337">
        <f t="shared" si="105"/>
        <v>0.1060466142737013</v>
      </c>
      <c r="O206" s="343">
        <f t="shared" si="106"/>
        <v>1.0023278744848216</v>
      </c>
      <c r="P206" s="691">
        <f t="shared" si="107"/>
        <v>6.8166965667478888E-2</v>
      </c>
      <c r="Q206" s="336">
        <f t="shared" si="90"/>
        <v>4.1835134361689175</v>
      </c>
      <c r="R206" s="692">
        <f t="shared" si="108"/>
        <v>0.11402675970514205</v>
      </c>
      <c r="S206" s="329">
        <f t="shared" si="109"/>
        <v>0.99896110562390361</v>
      </c>
      <c r="T206" s="330">
        <f t="shared" si="110"/>
        <v>6.8109131257571662E-2</v>
      </c>
      <c r="U206" s="331">
        <f t="shared" si="111"/>
        <v>11.44500758547597</v>
      </c>
      <c r="V206" s="332">
        <f t="shared" si="112"/>
        <v>-118.6471911543363</v>
      </c>
      <c r="W206" s="334">
        <f t="shared" si="113"/>
        <v>61.352808845663702</v>
      </c>
      <c r="Y206" s="307">
        <f t="shared" si="114"/>
        <v>1000000000</v>
      </c>
      <c r="Z206" s="307">
        <f t="shared" si="115"/>
        <v>138039001</v>
      </c>
      <c r="AB206" s="333">
        <f t="shared" si="116"/>
        <v>35.192766115835333</v>
      </c>
      <c r="AC206" s="334">
        <f t="shared" si="117"/>
        <v>-26.096943259953175</v>
      </c>
      <c r="AE206" s="333">
        <f t="shared" si="118"/>
        <v>0.70406849619715772</v>
      </c>
      <c r="AF206" s="334">
        <f t="shared" si="119"/>
        <v>-89.922675243683386</v>
      </c>
      <c r="AH206">
        <f t="shared" si="120"/>
        <v>0</v>
      </c>
      <c r="AI206">
        <f t="shared" si="93"/>
        <v>0</v>
      </c>
    </row>
    <row r="207" spans="1:35" x14ac:dyDescent="0.25">
      <c r="A207" s="335">
        <v>11817.5</v>
      </c>
      <c r="B207" s="352">
        <f t="shared" si="121"/>
        <v>11.817500000000001</v>
      </c>
      <c r="C207" s="325">
        <f t="shared" si="96"/>
        <v>25.190737837843493</v>
      </c>
      <c r="D207" s="326">
        <f t="shared" si="97"/>
        <v>1.531088762984917</v>
      </c>
      <c r="E207" s="326">
        <f t="shared" si="98"/>
        <v>1.00044096609696</v>
      </c>
      <c r="F207" s="327">
        <f t="shared" si="99"/>
        <v>2.9691888297297027E-2</v>
      </c>
      <c r="G207" s="326">
        <f t="shared" si="100"/>
        <v>1</v>
      </c>
      <c r="H207" s="327">
        <f t="shared" si="101"/>
        <v>0</v>
      </c>
      <c r="I207" s="325">
        <f t="shared" si="102"/>
        <v>3899.4792150106073</v>
      </c>
      <c r="J207" s="328">
        <f t="shared" si="103"/>
        <v>1.5705398822914585</v>
      </c>
      <c r="K207" s="336">
        <f t="shared" si="94"/>
        <v>2.9338335381320819</v>
      </c>
      <c r="L207" s="337">
        <f t="shared" si="95"/>
        <v>1.2229744060301377</v>
      </c>
      <c r="M207" s="325">
        <f t="shared" si="104"/>
        <v>1.005715290790044</v>
      </c>
      <c r="N207" s="337">
        <f t="shared" si="105"/>
        <v>0.1066602309297752</v>
      </c>
      <c r="O207" s="343">
        <f t="shared" si="106"/>
        <v>1.0023550659688276</v>
      </c>
      <c r="P207" s="691">
        <f t="shared" si="107"/>
        <v>6.8563157627354057E-2</v>
      </c>
      <c r="Q207" s="336">
        <f t="shared" ref="Q207:Q270" si="122">IF(VOUT_setting=1,1,SQRT((1+Afbr-$Q$5*(A207)^2)^2+(A207*$Q$4)^2))</f>
        <v>4.1838275518621968</v>
      </c>
      <c r="R207" s="692">
        <f t="shared" si="108"/>
        <v>0.11468584092931236</v>
      </c>
      <c r="S207" s="329">
        <f t="shared" si="109"/>
        <v>0.9989490164782866</v>
      </c>
      <c r="T207" s="330">
        <f t="shared" si="110"/>
        <v>6.8507677726604807E-2</v>
      </c>
      <c r="U207" s="331">
        <f t="shared" si="111"/>
        <v>11.3878607236656</v>
      </c>
      <c r="V207" s="332">
        <f t="shared" si="112"/>
        <v>-118.61675628866467</v>
      </c>
      <c r="W207" s="334">
        <f t="shared" si="113"/>
        <v>61.383243711335325</v>
      </c>
      <c r="Y207" s="307">
        <f t="shared" si="114"/>
        <v>1000000000</v>
      </c>
      <c r="Z207" s="307">
        <f t="shared" si="115"/>
        <v>139653306.25</v>
      </c>
      <c r="AB207" s="333">
        <f t="shared" si="116"/>
        <v>35.18630051966641</v>
      </c>
      <c r="AC207" s="334">
        <f t="shared" si="117"/>
        <v>-26.025215998133071</v>
      </c>
      <c r="AE207" s="333">
        <f t="shared" si="118"/>
        <v>0.65380374850281098</v>
      </c>
      <c r="AF207" s="334">
        <f t="shared" si="119"/>
        <v>-89.948905194491218</v>
      </c>
      <c r="AH207">
        <f t="shared" si="120"/>
        <v>0</v>
      </c>
      <c r="AI207">
        <f t="shared" si="93"/>
        <v>0</v>
      </c>
    </row>
    <row r="208" spans="1:35" x14ac:dyDescent="0.25">
      <c r="A208" s="335">
        <v>11886</v>
      </c>
      <c r="B208" s="352">
        <f t="shared" si="121"/>
        <v>11.885999999999999</v>
      </c>
      <c r="C208" s="325">
        <f t="shared" si="96"/>
        <v>25.336526212020534</v>
      </c>
      <c r="D208" s="326">
        <f t="shared" si="97"/>
        <v>1.5313173625658913</v>
      </c>
      <c r="E208" s="326">
        <f t="shared" si="98"/>
        <v>1.0004460918796758</v>
      </c>
      <c r="F208" s="327">
        <f t="shared" si="99"/>
        <v>2.9863894961646639E-2</v>
      </c>
      <c r="G208" s="326">
        <f t="shared" si="100"/>
        <v>1</v>
      </c>
      <c r="H208" s="327">
        <f t="shared" si="101"/>
        <v>0</v>
      </c>
      <c r="I208" s="325">
        <f t="shared" si="102"/>
        <v>3922.082499014195</v>
      </c>
      <c r="J208" s="328">
        <f t="shared" si="103"/>
        <v>1.5705413602022547</v>
      </c>
      <c r="K208" s="336">
        <f t="shared" si="94"/>
        <v>2.9488687662684856</v>
      </c>
      <c r="L208" s="337">
        <f t="shared" si="95"/>
        <v>1.2248223628814439</v>
      </c>
      <c r="M208" s="325">
        <f t="shared" si="104"/>
        <v>1.0057815490596682</v>
      </c>
      <c r="N208" s="337">
        <f t="shared" si="105"/>
        <v>0.10727376696990051</v>
      </c>
      <c r="O208" s="343">
        <f t="shared" si="106"/>
        <v>1.0023824147820224</v>
      </c>
      <c r="P208" s="691">
        <f t="shared" si="107"/>
        <v>6.8959328030158765E-2</v>
      </c>
      <c r="Q208" s="336">
        <f t="shared" si="122"/>
        <v>4.1841434698297677</v>
      </c>
      <c r="R208" s="692">
        <f t="shared" si="108"/>
        <v>0.11534482332038117</v>
      </c>
      <c r="S208" s="329">
        <f t="shared" si="109"/>
        <v>0.99893685846133573</v>
      </c>
      <c r="T208" s="330">
        <f t="shared" si="110"/>
        <v>6.8906249499775765E-2</v>
      </c>
      <c r="U208" s="331">
        <f t="shared" si="111"/>
        <v>11.331093459982039</v>
      </c>
      <c r="V208" s="332">
        <f t="shared" si="112"/>
        <v>-118.58725089749994</v>
      </c>
      <c r="W208" s="334">
        <f t="shared" si="113"/>
        <v>61.412749102500058</v>
      </c>
      <c r="Y208" s="307">
        <f t="shared" si="114"/>
        <v>1000000000</v>
      </c>
      <c r="Z208" s="307">
        <f t="shared" si="115"/>
        <v>141276996</v>
      </c>
      <c r="AB208" s="333">
        <f t="shared" si="116"/>
        <v>35.179925534053304</v>
      </c>
      <c r="AC208" s="334">
        <f t="shared" si="117"/>
        <v>-25.954573573479685</v>
      </c>
      <c r="AE208" s="333">
        <f t="shared" si="118"/>
        <v>0.60383032386810209</v>
      </c>
      <c r="AF208" s="334">
        <f t="shared" si="119"/>
        <v>-89.974984210229707</v>
      </c>
      <c r="AH208">
        <f t="shared" si="120"/>
        <v>0</v>
      </c>
      <c r="AI208">
        <f t="shared" si="93"/>
        <v>0</v>
      </c>
    </row>
    <row r="209" spans="1:35" x14ac:dyDescent="0.25">
      <c r="A209" s="335">
        <v>11954.5</v>
      </c>
      <c r="B209" s="352">
        <f t="shared" si="121"/>
        <v>11.954499999999999</v>
      </c>
      <c r="C209" s="325">
        <f t="shared" si="96"/>
        <v>25.482315895077868</v>
      </c>
      <c r="D209" s="326">
        <f t="shared" si="97"/>
        <v>1.5315433464261001</v>
      </c>
      <c r="E209" s="326">
        <f t="shared" si="98"/>
        <v>1.0004512472615787</v>
      </c>
      <c r="F209" s="327">
        <f t="shared" si="99"/>
        <v>3.0035899858365037E-2</v>
      </c>
      <c r="G209" s="326">
        <f t="shared" si="100"/>
        <v>1</v>
      </c>
      <c r="H209" s="327">
        <f t="shared" si="101"/>
        <v>0</v>
      </c>
      <c r="I209" s="325">
        <f t="shared" si="102"/>
        <v>3944.6857830262511</v>
      </c>
      <c r="J209" s="328">
        <f t="shared" si="103"/>
        <v>1.5705428211760173</v>
      </c>
      <c r="K209" s="336">
        <f t="shared" si="94"/>
        <v>2.9639139624405151</v>
      </c>
      <c r="L209" s="337">
        <f t="shared" si="95"/>
        <v>1.2266515650086887</v>
      </c>
      <c r="M209" s="325">
        <f t="shared" si="104"/>
        <v>1.0058481858821304</v>
      </c>
      <c r="N209" s="337">
        <f t="shared" si="105"/>
        <v>0.10788722194815198</v>
      </c>
      <c r="O209" s="343">
        <f t="shared" si="106"/>
        <v>1.0024099209115285</v>
      </c>
      <c r="P209" s="691">
        <f t="shared" si="107"/>
        <v>6.9355476753303835E-2</v>
      </c>
      <c r="Q209" s="336">
        <f t="shared" si="122"/>
        <v>4.1844611896634571</v>
      </c>
      <c r="R209" s="692">
        <f t="shared" si="108"/>
        <v>0.11600370633548157</v>
      </c>
      <c r="S209" s="329">
        <f t="shared" si="109"/>
        <v>0.99892463159756928</v>
      </c>
      <c r="T209" s="330">
        <f t="shared" si="110"/>
        <v>6.9304846723751035E-2</v>
      </c>
      <c r="U209" s="331">
        <f t="shared" si="111"/>
        <v>11.274700530529396</v>
      </c>
      <c r="V209" s="332">
        <f t="shared" si="112"/>
        <v>-118.55866169601779</v>
      </c>
      <c r="W209" s="334">
        <f t="shared" si="113"/>
        <v>61.441338303982207</v>
      </c>
      <c r="Y209" s="307">
        <f t="shared" si="114"/>
        <v>1000000000</v>
      </c>
      <c r="Z209" s="307">
        <f t="shared" si="115"/>
        <v>142910070.25</v>
      </c>
      <c r="AB209" s="333">
        <f t="shared" si="116"/>
        <v>35.173639216585272</v>
      </c>
      <c r="AC209" s="334">
        <f t="shared" si="117"/>
        <v>-25.885000100438383</v>
      </c>
      <c r="AE209" s="333">
        <f t="shared" si="118"/>
        <v>0.55414489934338662</v>
      </c>
      <c r="AF209" s="334">
        <f t="shared" si="119"/>
        <v>-90.000914915709231</v>
      </c>
      <c r="AH209">
        <f t="shared" si="120"/>
        <v>0</v>
      </c>
      <c r="AI209">
        <f t="shared" si="93"/>
        <v>0</v>
      </c>
    </row>
    <row r="210" spans="1:35" x14ac:dyDescent="0.25">
      <c r="A210" s="335">
        <v>12023</v>
      </c>
      <c r="B210" s="352">
        <f t="shared" si="121"/>
        <v>12.023</v>
      </c>
      <c r="C210" s="325">
        <f t="shared" si="96"/>
        <v>25.62810686467817</v>
      </c>
      <c r="D210" s="326">
        <f t="shared" si="97"/>
        <v>1.5317667591825241</v>
      </c>
      <c r="E210" s="326">
        <f t="shared" si="98"/>
        <v>1.0004564322422111</v>
      </c>
      <c r="F210" s="327">
        <f t="shared" si="99"/>
        <v>3.0207902977301866E-2</v>
      </c>
      <c r="G210" s="326">
        <f t="shared" si="100"/>
        <v>1</v>
      </c>
      <c r="H210" s="327">
        <f t="shared" si="101"/>
        <v>0</v>
      </c>
      <c r="I210" s="325">
        <f t="shared" si="102"/>
        <v>3967.2890670466309</v>
      </c>
      <c r="J210" s="328">
        <f t="shared" si="103"/>
        <v>1.5705442655022384</v>
      </c>
      <c r="K210" s="336">
        <f t="shared" si="94"/>
        <v>2.9789689756183519</v>
      </c>
      <c r="L210" s="337">
        <f t="shared" si="95"/>
        <v>1.2284622844233219</v>
      </c>
      <c r="M210" s="325">
        <f t="shared" si="104"/>
        <v>1.0059152011821992</v>
      </c>
      <c r="N210" s="337">
        <f t="shared" si="105"/>
        <v>0.10850059541896612</v>
      </c>
      <c r="O210" s="343">
        <f t="shared" si="106"/>
        <v>1.0024375843443962</v>
      </c>
      <c r="P210" s="691">
        <f t="shared" si="107"/>
        <v>6.9751603674240811E-2</v>
      </c>
      <c r="Q210" s="336">
        <f t="shared" si="122"/>
        <v>4.1847807109528832</v>
      </c>
      <c r="R210" s="692">
        <f t="shared" si="108"/>
        <v>0.11666248943225357</v>
      </c>
      <c r="S210" s="329">
        <f t="shared" si="109"/>
        <v>0.99891233591164796</v>
      </c>
      <c r="T210" s="330">
        <f t="shared" si="110"/>
        <v>6.9703469545196767E-2</v>
      </c>
      <c r="U210" s="331">
        <f t="shared" si="111"/>
        <v>11.218676777159043</v>
      </c>
      <c r="V210" s="332">
        <f t="shared" si="112"/>
        <v>-118.53097563146402</v>
      </c>
      <c r="W210" s="334">
        <f t="shared" si="113"/>
        <v>61.469024368535983</v>
      </c>
      <c r="Y210" s="307">
        <f t="shared" si="114"/>
        <v>1000000000</v>
      </c>
      <c r="Z210" s="307">
        <f t="shared" si="115"/>
        <v>144552529</v>
      </c>
      <c r="AB210" s="333">
        <f t="shared" si="116"/>
        <v>35.16743967398925</v>
      </c>
      <c r="AC210" s="334">
        <f t="shared" si="117"/>
        <v>-25.816479984958857</v>
      </c>
      <c r="AE210" s="333">
        <f t="shared" si="118"/>
        <v>0.50474420858094604</v>
      </c>
      <c r="AF210" s="334">
        <f t="shared" si="119"/>
        <v>-90.026699876279437</v>
      </c>
      <c r="AH210">
        <f t="shared" si="120"/>
        <v>0</v>
      </c>
      <c r="AI210">
        <f t="shared" si="93"/>
        <v>0</v>
      </c>
    </row>
    <row r="211" spans="1:35" x14ac:dyDescent="0.25">
      <c r="A211" s="335">
        <v>12093</v>
      </c>
      <c r="B211" s="352">
        <f t="shared" si="121"/>
        <v>12.093</v>
      </c>
      <c r="C211" s="325">
        <f t="shared" si="96"/>
        <v>25.777091643656259</v>
      </c>
      <c r="D211" s="326">
        <f t="shared" si="97"/>
        <v>1.5319924533911311</v>
      </c>
      <c r="E211" s="326">
        <f t="shared" si="98"/>
        <v>1.0004617613401332</v>
      </c>
      <c r="F211" s="327">
        <f t="shared" si="99"/>
        <v>3.0383670740730073E-2</v>
      </c>
      <c r="G211" s="326">
        <f t="shared" si="100"/>
        <v>1</v>
      </c>
      <c r="H211" s="327">
        <f t="shared" si="101"/>
        <v>0</v>
      </c>
      <c r="I211" s="325">
        <f t="shared" si="102"/>
        <v>3990.3873134992668</v>
      </c>
      <c r="J211" s="328">
        <f t="shared" si="103"/>
        <v>1.5705457245520809</v>
      </c>
      <c r="K211" s="336">
        <f t="shared" si="94"/>
        <v>2.9943636483437919</v>
      </c>
      <c r="L211" s="337">
        <f t="shared" si="95"/>
        <v>1.2302938382353961</v>
      </c>
      <c r="M211" s="325">
        <f t="shared" si="104"/>
        <v>1.0059840748919717</v>
      </c>
      <c r="N211" s="337">
        <f t="shared" si="105"/>
        <v>0.10912731575812172</v>
      </c>
      <c r="O211" s="343">
        <f t="shared" si="106"/>
        <v>1.0024660160402894</v>
      </c>
      <c r="P211" s="691">
        <f t="shared" si="107"/>
        <v>7.0156382256264249E-2</v>
      </c>
      <c r="Q211" s="336">
        <f t="shared" si="122"/>
        <v>4.1851090896890648</v>
      </c>
      <c r="R211" s="692">
        <f t="shared" si="108"/>
        <v>0.11733559464811881</v>
      </c>
      <c r="S211" s="329">
        <f t="shared" si="109"/>
        <v>0.99889969990370553</v>
      </c>
      <c r="T211" s="330">
        <f t="shared" si="110"/>
        <v>7.0110847930560216E-2</v>
      </c>
      <c r="U211" s="331">
        <f t="shared" si="111"/>
        <v>11.161802357151828</v>
      </c>
      <c r="V211" s="332">
        <f t="shared" si="112"/>
        <v>-118.50360297620765</v>
      </c>
      <c r="W211" s="334">
        <f t="shared" si="113"/>
        <v>61.496397023792355</v>
      </c>
      <c r="Y211" s="307">
        <f t="shared" si="114"/>
        <v>1000000000</v>
      </c>
      <c r="Z211" s="307">
        <f t="shared" si="115"/>
        <v>146240649</v>
      </c>
      <c r="AB211" s="333">
        <f t="shared" si="116"/>
        <v>35.161192100625897</v>
      </c>
      <c r="AC211" s="334">
        <f t="shared" si="117"/>
        <v>-25.747531709263818</v>
      </c>
      <c r="AE211" s="333">
        <f t="shared" si="118"/>
        <v>0.45455256429782315</v>
      </c>
      <c r="AF211" s="334">
        <f t="shared" si="119"/>
        <v>-90.052901513050386</v>
      </c>
      <c r="AH211">
        <f t="shared" si="120"/>
        <v>0</v>
      </c>
      <c r="AI211">
        <f t="shared" si="93"/>
        <v>0</v>
      </c>
    </row>
    <row r="212" spans="1:35" x14ac:dyDescent="0.25">
      <c r="A212" s="335">
        <v>12163</v>
      </c>
      <c r="B212" s="352">
        <f t="shared" si="121"/>
        <v>12.163</v>
      </c>
      <c r="C212" s="325">
        <f t="shared" si="96"/>
        <v>25.92607772057389</v>
      </c>
      <c r="D212" s="326">
        <f t="shared" si="97"/>
        <v>1.5322155536748738</v>
      </c>
      <c r="E212" s="326">
        <f t="shared" si="98"/>
        <v>1.0004671213462981</v>
      </c>
      <c r="F212" s="327">
        <f t="shared" si="99"/>
        <v>3.0559436626235555E-2</v>
      </c>
      <c r="G212" s="326">
        <f t="shared" si="100"/>
        <v>1</v>
      </c>
      <c r="H212" s="327">
        <f t="shared" si="101"/>
        <v>0</v>
      </c>
      <c r="I212" s="325">
        <f t="shared" si="102"/>
        <v>4013.4855599602993</v>
      </c>
      <c r="J212" s="328">
        <f t="shared" si="103"/>
        <v>1.5705471668077964</v>
      </c>
      <c r="K212" s="336">
        <f t="shared" si="94"/>
        <v>3.0097682631531728</v>
      </c>
      <c r="L212" s="337">
        <f t="shared" si="95"/>
        <v>1.2321066495365276</v>
      </c>
      <c r="M212" s="325">
        <f t="shared" si="104"/>
        <v>1.0060533436763521</v>
      </c>
      <c r="N212" s="337">
        <f t="shared" si="105"/>
        <v>0.10975395004148053</v>
      </c>
      <c r="O212" s="343">
        <f t="shared" si="106"/>
        <v>1.0024946119765972</v>
      </c>
      <c r="P212" s="691">
        <f t="shared" si="107"/>
        <v>7.0561137812163582E-2</v>
      </c>
      <c r="Q212" s="336">
        <f t="shared" si="122"/>
        <v>4.1854393487671686</v>
      </c>
      <c r="R212" s="692">
        <f t="shared" si="108"/>
        <v>0.1180085943782388</v>
      </c>
      <c r="S212" s="329">
        <f t="shared" si="109"/>
        <v>0.99888699207902576</v>
      </c>
      <c r="T212" s="330">
        <f t="shared" si="110"/>
        <v>7.051825335639765E-2</v>
      </c>
      <c r="U212" s="331">
        <f t="shared" si="111"/>
        <v>11.105302893688119</v>
      </c>
      <c r="V212" s="332">
        <f t="shared" si="112"/>
        <v>-118.47714660622687</v>
      </c>
      <c r="W212" s="334">
        <f t="shared" si="113"/>
        <v>61.522853393773133</v>
      </c>
      <c r="Y212" s="307">
        <f t="shared" si="114"/>
        <v>1000000000</v>
      </c>
      <c r="Z212" s="307">
        <f t="shared" si="115"/>
        <v>147938569</v>
      </c>
      <c r="AB212" s="333">
        <f t="shared" si="116"/>
        <v>35.155031297378081</v>
      </c>
      <c r="AC212" s="334">
        <f t="shared" si="117"/>
        <v>-25.679651407477948</v>
      </c>
      <c r="AE212" s="333">
        <f t="shared" si="118"/>
        <v>0.40465153913605673</v>
      </c>
      <c r="AF212" s="334">
        <f t="shared" si="119"/>
        <v>-90.078956185776164</v>
      </c>
      <c r="AH212">
        <f t="shared" si="120"/>
        <v>0</v>
      </c>
      <c r="AI212">
        <f t="shared" si="93"/>
        <v>0</v>
      </c>
    </row>
    <row r="213" spans="1:35" x14ac:dyDescent="0.25">
      <c r="A213" s="335">
        <v>12233</v>
      </c>
      <c r="B213" s="352">
        <f t="shared" si="121"/>
        <v>12.233000000000001</v>
      </c>
      <c r="C213" s="325">
        <f t="shared" si="96"/>
        <v>26.075065073182799</v>
      </c>
      <c r="D213" s="326">
        <f t="shared" si="97"/>
        <v>1.5324361044747488</v>
      </c>
      <c r="E213" s="326">
        <f t="shared" si="98"/>
        <v>1.0004725122602085</v>
      </c>
      <c r="F213" s="327">
        <f t="shared" si="99"/>
        <v>3.0735200622988495E-2</v>
      </c>
      <c r="G213" s="326">
        <f t="shared" si="100"/>
        <v>1</v>
      </c>
      <c r="H213" s="327">
        <f t="shared" si="101"/>
        <v>0</v>
      </c>
      <c r="I213" s="325">
        <f t="shared" si="102"/>
        <v>4036.5838064295854</v>
      </c>
      <c r="J213" s="328">
        <f t="shared" si="103"/>
        <v>1.5705485925576845</v>
      </c>
      <c r="K213" s="336">
        <f t="shared" si="94"/>
        <v>3.0251826681674312</v>
      </c>
      <c r="L213" s="337">
        <f t="shared" si="95"/>
        <v>1.2339009928197497</v>
      </c>
      <c r="M213" s="325">
        <f t="shared" si="104"/>
        <v>1.0061230074537408</v>
      </c>
      <c r="N213" s="337">
        <f t="shared" si="105"/>
        <v>0.11038049779474607</v>
      </c>
      <c r="O213" s="343">
        <f t="shared" si="106"/>
        <v>1.0025233721392648</v>
      </c>
      <c r="P213" s="691">
        <f t="shared" si="107"/>
        <v>7.0965870211295065E-2</v>
      </c>
      <c r="Q213" s="336">
        <f t="shared" si="122"/>
        <v>4.1857714877421452</v>
      </c>
      <c r="R213" s="692">
        <f t="shared" si="108"/>
        <v>0.1186814880454945</v>
      </c>
      <c r="S213" s="329">
        <f t="shared" si="109"/>
        <v>0.99887421246438901</v>
      </c>
      <c r="T213" s="330">
        <f t="shared" si="110"/>
        <v>7.0925685979221373E-2</v>
      </c>
      <c r="U213" s="331">
        <f t="shared" si="111"/>
        <v>11.049173207068065</v>
      </c>
      <c r="V213" s="332">
        <f t="shared" si="112"/>
        <v>-118.45159331386108</v>
      </c>
      <c r="W213" s="334">
        <f t="shared" si="113"/>
        <v>61.548406686138918</v>
      </c>
      <c r="Y213" s="307">
        <f t="shared" si="114"/>
        <v>1000000000</v>
      </c>
      <c r="Z213" s="307">
        <f t="shared" si="115"/>
        <v>149646289</v>
      </c>
      <c r="AB213" s="333">
        <f t="shared" si="116"/>
        <v>35.148955393597959</v>
      </c>
      <c r="AC213" s="334">
        <f t="shared" si="117"/>
        <v>-25.612823341652057</v>
      </c>
      <c r="AE213" s="333">
        <f t="shared" si="118"/>
        <v>0.35503782244799115</v>
      </c>
      <c r="AF213" s="334">
        <f t="shared" si="119"/>
        <v>-90.104866450326298</v>
      </c>
      <c r="AH213">
        <f t="shared" si="120"/>
        <v>0</v>
      </c>
      <c r="AI213">
        <f t="shared" si="93"/>
        <v>0</v>
      </c>
    </row>
    <row r="214" spans="1:35" x14ac:dyDescent="0.25">
      <c r="A214" s="335">
        <v>12303</v>
      </c>
      <c r="B214" s="352">
        <f t="shared" si="121"/>
        <v>12.303000000000001</v>
      </c>
      <c r="C214" s="325">
        <f t="shared" si="96"/>
        <v>26.224053679740141</v>
      </c>
      <c r="D214" s="326">
        <f t="shared" si="97"/>
        <v>1.5326541492228136</v>
      </c>
      <c r="E214" s="326">
        <f t="shared" si="98"/>
        <v>1.0004779340813654</v>
      </c>
      <c r="F214" s="327">
        <f t="shared" si="99"/>
        <v>3.0910962720159758E-2</v>
      </c>
      <c r="G214" s="326">
        <f t="shared" si="100"/>
        <v>1</v>
      </c>
      <c r="H214" s="327">
        <f t="shared" si="101"/>
        <v>0</v>
      </c>
      <c r="I214" s="325">
        <f t="shared" si="102"/>
        <v>4059.6820529069832</v>
      </c>
      <c r="J214" s="328">
        <f t="shared" si="103"/>
        <v>1.5705500020834833</v>
      </c>
      <c r="K214" s="336">
        <f t="shared" si="94"/>
        <v>3.0406067144917648</v>
      </c>
      <c r="L214" s="337">
        <f t="shared" si="95"/>
        <v>1.2356771374894364</v>
      </c>
      <c r="M214" s="325">
        <f t="shared" si="104"/>
        <v>1.0061930661420959</v>
      </c>
      <c r="N214" s="337">
        <f t="shared" si="105"/>
        <v>0.11100695854402462</v>
      </c>
      <c r="O214" s="343">
        <f t="shared" si="106"/>
        <v>1.0025522965141589</v>
      </c>
      <c r="P214" s="691">
        <f t="shared" si="107"/>
        <v>7.1370579323060263E-2</v>
      </c>
      <c r="Q214" s="336">
        <f t="shared" si="122"/>
        <v>4.1861055061665553</v>
      </c>
      <c r="R214" s="692">
        <f t="shared" si="108"/>
        <v>0.1193542750733305</v>
      </c>
      <c r="S214" s="329">
        <f t="shared" si="109"/>
        <v>0.99886136108673229</v>
      </c>
      <c r="T214" s="330">
        <f t="shared" si="110"/>
        <v>7.1333145955543242E-2</v>
      </c>
      <c r="U214" s="331">
        <f t="shared" si="111"/>
        <v>10.993408221420991</v>
      </c>
      <c r="V214" s="332">
        <f t="shared" si="112"/>
        <v>-118.42693012487692</v>
      </c>
      <c r="W214" s="334">
        <f t="shared" si="113"/>
        <v>61.573069875123082</v>
      </c>
      <c r="Y214" s="307">
        <f t="shared" si="114"/>
        <v>1000000000</v>
      </c>
      <c r="Z214" s="307">
        <f t="shared" si="115"/>
        <v>151363809</v>
      </c>
      <c r="AB214" s="333">
        <f t="shared" si="116"/>
        <v>35.142962566127679</v>
      </c>
      <c r="AC214" s="334">
        <f t="shared" si="117"/>
        <v>-25.547032065042817</v>
      </c>
      <c r="AE214" s="333">
        <f t="shared" si="118"/>
        <v>0.30570815991689215</v>
      </c>
      <c r="AF214" s="334">
        <f t="shared" si="119"/>
        <v>-90.130634804762309</v>
      </c>
      <c r="AH214">
        <f t="shared" si="120"/>
        <v>0</v>
      </c>
      <c r="AI214">
        <f t="shared" si="93"/>
        <v>0</v>
      </c>
    </row>
    <row r="215" spans="1:35" x14ac:dyDescent="0.25">
      <c r="A215" s="335">
        <v>12374.5</v>
      </c>
      <c r="B215" s="352">
        <f t="shared" si="121"/>
        <v>12.374499999999999</v>
      </c>
      <c r="C215" s="325">
        <f t="shared" si="96"/>
        <v>26.376236171743251</v>
      </c>
      <c r="D215" s="326">
        <f t="shared" si="97"/>
        <v>1.5328743233130355</v>
      </c>
      <c r="E215" s="326">
        <f t="shared" si="98"/>
        <v>1.0004835039916713</v>
      </c>
      <c r="F215" s="327">
        <f t="shared" si="99"/>
        <v>3.1090489175650087E-2</v>
      </c>
      <c r="G215" s="326">
        <f t="shared" si="100"/>
        <v>1</v>
      </c>
      <c r="H215" s="327">
        <f t="shared" si="101"/>
        <v>0</v>
      </c>
      <c r="I215" s="325">
        <f t="shared" si="102"/>
        <v>4083.2752618171285</v>
      </c>
      <c r="J215" s="328">
        <f t="shared" si="103"/>
        <v>1.5705514253503756</v>
      </c>
      <c r="K215" s="336">
        <f t="shared" ref="K215:K278" si="123">SQRT(1+(A215/Zero2)^2)</f>
        <v>3.056371077749978</v>
      </c>
      <c r="L215" s="337">
        <f t="shared" ref="L215:L278" si="124">ATAN(A215/Zero2)</f>
        <v>1.2374728295642463</v>
      </c>
      <c r="M215" s="325">
        <f t="shared" si="104"/>
        <v>1.006265033697495</v>
      </c>
      <c r="N215" s="337">
        <f t="shared" si="105"/>
        <v>0.11164675313939088</v>
      </c>
      <c r="O215" s="343">
        <f t="shared" si="106"/>
        <v>1.0025820102104872</v>
      </c>
      <c r="P215" s="691">
        <f t="shared" si="107"/>
        <v>7.1783936595957665E-2</v>
      </c>
      <c r="Q215" s="336">
        <f t="shared" si="122"/>
        <v>4.1864486219527217</v>
      </c>
      <c r="R215" s="692">
        <f t="shared" si="108"/>
        <v>0.12004136827557052</v>
      </c>
      <c r="S215" s="329">
        <f t="shared" si="109"/>
        <v>0.99884816026441781</v>
      </c>
      <c r="T215" s="330">
        <f t="shared" si="110"/>
        <v>7.1749365618801977E-2</v>
      </c>
      <c r="U215" s="331">
        <f t="shared" si="111"/>
        <v>10.936819607133357</v>
      </c>
      <c r="V215" s="332">
        <f t="shared" si="112"/>
        <v>-118.40264410633809</v>
      </c>
      <c r="W215" s="334">
        <f t="shared" si="113"/>
        <v>61.597355893661913</v>
      </c>
      <c r="Y215" s="307">
        <f t="shared" si="114"/>
        <v>1000000000</v>
      </c>
      <c r="Z215" s="307">
        <f t="shared" si="115"/>
        <v>153128250.25</v>
      </c>
      <c r="AB215" s="333">
        <f t="shared" si="116"/>
        <v>35.136925239156987</v>
      </c>
      <c r="AC215" s="334">
        <f t="shared" si="117"/>
        <v>-25.480885565031368</v>
      </c>
      <c r="AE215" s="333">
        <f t="shared" si="118"/>
        <v>0.25561135676136149</v>
      </c>
      <c r="AF215" s="334">
        <f t="shared" si="119"/>
        <v>-90.156811372764608</v>
      </c>
      <c r="AH215">
        <f t="shared" si="120"/>
        <v>0</v>
      </c>
      <c r="AI215">
        <f t="shared" si="93"/>
        <v>0</v>
      </c>
    </row>
    <row r="216" spans="1:35" x14ac:dyDescent="0.25">
      <c r="A216" s="335">
        <v>12446</v>
      </c>
      <c r="B216" s="352">
        <f t="shared" si="121"/>
        <v>12.446</v>
      </c>
      <c r="C216" s="325">
        <f t="shared" si="96"/>
        <v>26.528419927707414</v>
      </c>
      <c r="D216" s="326">
        <f t="shared" si="97"/>
        <v>1.5330919712986879</v>
      </c>
      <c r="E216" s="326">
        <f t="shared" si="98"/>
        <v>1.000489106146949</v>
      </c>
      <c r="F216" s="327">
        <f t="shared" si="99"/>
        <v>3.127001362643958E-2</v>
      </c>
      <c r="G216" s="326">
        <f t="shared" si="100"/>
        <v>1</v>
      </c>
      <c r="H216" s="327">
        <f t="shared" si="101"/>
        <v>0</v>
      </c>
      <c r="I216" s="325">
        <f t="shared" si="102"/>
        <v>4106.8684707354505</v>
      </c>
      <c r="J216" s="328">
        <f t="shared" si="103"/>
        <v>1.5705528322644515</v>
      </c>
      <c r="K216" s="336">
        <f t="shared" si="123"/>
        <v>3.0721451951462608</v>
      </c>
      <c r="L216" s="337">
        <f t="shared" si="124"/>
        <v>1.2392500871393486</v>
      </c>
      <c r="M216" s="325">
        <f t="shared" si="104"/>
        <v>1.0063374130955172</v>
      </c>
      <c r="N216" s="337">
        <f t="shared" si="105"/>
        <v>0.11228645596393352</v>
      </c>
      <c r="O216" s="343">
        <f t="shared" si="106"/>
        <v>1.0026118952020528</v>
      </c>
      <c r="P216" s="691">
        <f t="shared" si="107"/>
        <v>7.2197269297480438E-2</v>
      </c>
      <c r="Q216" s="336">
        <f t="shared" si="122"/>
        <v>4.1867936976479037</v>
      </c>
      <c r="R216" s="692">
        <f t="shared" si="108"/>
        <v>0.1207283490050237</v>
      </c>
      <c r="S216" s="329">
        <f t="shared" si="109"/>
        <v>0.99883488462788073</v>
      </c>
      <c r="T216" s="330">
        <f t="shared" si="110"/>
        <v>7.2165614150492191E-2</v>
      </c>
      <c r="U216" s="331">
        <f t="shared" si="111"/>
        <v>10.880601106176879</v>
      </c>
      <c r="V216" s="332">
        <f t="shared" si="112"/>
        <v>-118.3792601091926</v>
      </c>
      <c r="W216" s="334">
        <f t="shared" si="113"/>
        <v>61.6207398908074</v>
      </c>
      <c r="Y216" s="307">
        <f t="shared" si="114"/>
        <v>1000000000</v>
      </c>
      <c r="Z216" s="307">
        <f t="shared" si="115"/>
        <v>154902916</v>
      </c>
      <c r="AB216" s="333">
        <f t="shared" si="116"/>
        <v>35.130970887527248</v>
      </c>
      <c r="AC216" s="334">
        <f t="shared" si="117"/>
        <v>-25.415789089023548</v>
      </c>
      <c r="AE216" s="333">
        <f t="shared" si="118"/>
        <v>0.20580422291760375</v>
      </c>
      <c r="AF216" s="334">
        <f t="shared" si="119"/>
        <v>-90.182844974536479</v>
      </c>
      <c r="AH216">
        <f t="shared" si="120"/>
        <v>0</v>
      </c>
      <c r="AI216">
        <f t="shared" si="93"/>
        <v>0</v>
      </c>
    </row>
    <row r="217" spans="1:35" x14ac:dyDescent="0.25">
      <c r="A217" s="335">
        <v>12517.5</v>
      </c>
      <c r="B217" s="352">
        <f t="shared" si="121"/>
        <v>12.5175</v>
      </c>
      <c r="C217" s="325">
        <f t="shared" si="96"/>
        <v>26.680604926004079</v>
      </c>
      <c r="D217" s="326">
        <f t="shared" si="97"/>
        <v>1.5333071363853401</v>
      </c>
      <c r="E217" s="326">
        <f t="shared" si="98"/>
        <v>1.0004947405466567</v>
      </c>
      <c r="F217" s="327">
        <f t="shared" si="99"/>
        <v>3.1449536060990199E-2</v>
      </c>
      <c r="G217" s="326">
        <f t="shared" si="100"/>
        <v>1</v>
      </c>
      <c r="H217" s="327">
        <f t="shared" si="101"/>
        <v>0</v>
      </c>
      <c r="I217" s="325">
        <f t="shared" si="102"/>
        <v>4130.4616796618075</v>
      </c>
      <c r="J217" s="328">
        <f t="shared" si="103"/>
        <v>1.5705542231059331</v>
      </c>
      <c r="K217" s="336">
        <f t="shared" si="123"/>
        <v>3.0879289171989521</v>
      </c>
      <c r="L217" s="337">
        <f t="shared" si="124"/>
        <v>1.2410091815802378</v>
      </c>
      <c r="M217" s="325">
        <f t="shared" si="104"/>
        <v>1.0064102042473051</v>
      </c>
      <c r="N217" s="337">
        <f t="shared" si="105"/>
        <v>0.11292606651395128</v>
      </c>
      <c r="O217" s="343">
        <f t="shared" si="106"/>
        <v>1.002641951473539</v>
      </c>
      <c r="P217" s="691">
        <f t="shared" si="107"/>
        <v>7.2610577288601277E-2</v>
      </c>
      <c r="Q217" s="336">
        <f t="shared" si="122"/>
        <v>4.1871407327675643</v>
      </c>
      <c r="R217" s="692">
        <f t="shared" si="108"/>
        <v>0.12141521664911002</v>
      </c>
      <c r="S217" s="329">
        <f t="shared" si="109"/>
        <v>0.99882153420633268</v>
      </c>
      <c r="T217" s="330">
        <f t="shared" si="110"/>
        <v>7.2581891717402688E-2</v>
      </c>
      <c r="U217" s="331">
        <f t="shared" si="111"/>
        <v>10.824747627716899</v>
      </c>
      <c r="V217" s="332">
        <f t="shared" si="112"/>
        <v>-118.35676503111993</v>
      </c>
      <c r="W217" s="334">
        <f t="shared" si="113"/>
        <v>61.643234968880066</v>
      </c>
      <c r="Y217" s="307">
        <f t="shared" si="114"/>
        <v>1000000000</v>
      </c>
      <c r="Z217" s="307">
        <f t="shared" si="115"/>
        <v>156687806.25</v>
      </c>
      <c r="AB217" s="333">
        <f t="shared" si="116"/>
        <v>35.125097712803651</v>
      </c>
      <c r="AC217" s="334">
        <f t="shared" si="117"/>
        <v>-25.351727076117388</v>
      </c>
      <c r="AE217" s="333">
        <f t="shared" si="118"/>
        <v>0.15628346424985279</v>
      </c>
      <c r="AF217" s="334">
        <f t="shared" si="119"/>
        <v>-90.208738095792086</v>
      </c>
      <c r="AH217">
        <f t="shared" si="120"/>
        <v>0</v>
      </c>
      <c r="AI217">
        <f t="shared" si="93"/>
        <v>0</v>
      </c>
    </row>
    <row r="218" spans="1:35" x14ac:dyDescent="0.25">
      <c r="A218" s="335">
        <v>12589</v>
      </c>
      <c r="B218" s="352">
        <f t="shared" si="121"/>
        <v>12.589</v>
      </c>
      <c r="C218" s="325">
        <f t="shared" si="96"/>
        <v>26.832791145495179</v>
      </c>
      <c r="D218" s="326">
        <f t="shared" si="97"/>
        <v>1.5335198607993061</v>
      </c>
      <c r="E218" s="326">
        <f t="shared" si="98"/>
        <v>1.0005004071902497</v>
      </c>
      <c r="F218" s="327">
        <f t="shared" si="99"/>
        <v>3.1629056467764698E-2</v>
      </c>
      <c r="G218" s="326">
        <f t="shared" si="100"/>
        <v>1</v>
      </c>
      <c r="H218" s="327">
        <f t="shared" si="101"/>
        <v>0</v>
      </c>
      <c r="I218" s="325">
        <f t="shared" si="102"/>
        <v>4154.0548885960643</v>
      </c>
      <c r="J218" s="328">
        <f t="shared" si="103"/>
        <v>1.5705555981486758</v>
      </c>
      <c r="K218" s="336">
        <f t="shared" si="123"/>
        <v>3.1037220973769974</v>
      </c>
      <c r="L218" s="337">
        <f t="shared" si="124"/>
        <v>1.2427503791837633</v>
      </c>
      <c r="M218" s="325">
        <f t="shared" si="104"/>
        <v>1.006483407063522</v>
      </c>
      <c r="N218" s="337">
        <f t="shared" si="105"/>
        <v>0.11356558428619024</v>
      </c>
      <c r="O218" s="343">
        <f t="shared" si="106"/>
        <v>1.0026721790095425</v>
      </c>
      <c r="P218" s="691">
        <f t="shared" si="107"/>
        <v>7.3023860430343326E-2</v>
      </c>
      <c r="Q218" s="336">
        <f t="shared" si="122"/>
        <v>4.1874897268245821</v>
      </c>
      <c r="R218" s="692">
        <f t="shared" si="108"/>
        <v>0.12210197059587538</v>
      </c>
      <c r="S218" s="329">
        <f t="shared" si="109"/>
        <v>0.99880810902915462</v>
      </c>
      <c r="T218" s="330">
        <f t="shared" si="110"/>
        <v>7.2998198486321816E-2</v>
      </c>
      <c r="U218" s="331">
        <f t="shared" si="111"/>
        <v>10.769254182683854</v>
      </c>
      <c r="V218" s="332">
        <f t="shared" si="112"/>
        <v>-118.33514600379831</v>
      </c>
      <c r="W218" s="334">
        <f t="shared" si="113"/>
        <v>61.664853996201686</v>
      </c>
      <c r="Y218" s="307">
        <f t="shared" si="114"/>
        <v>1000000000</v>
      </c>
      <c r="Z218" s="307">
        <f t="shared" si="115"/>
        <v>158482921</v>
      </c>
      <c r="AB218" s="333">
        <f t="shared" si="116"/>
        <v>35.119303962342919</v>
      </c>
      <c r="AC218" s="334">
        <f t="shared" si="117"/>
        <v>-25.288684255483755</v>
      </c>
      <c r="AE218" s="333">
        <f t="shared" si="118"/>
        <v>0.10704584258697183</v>
      </c>
      <c r="AF218" s="334">
        <f t="shared" si="119"/>
        <v>-90.234493166138307</v>
      </c>
      <c r="AH218">
        <f t="shared" si="120"/>
        <v>0</v>
      </c>
      <c r="AI218">
        <f t="shared" ref="AI218:AI281" si="125">IF(AH218&gt;0,W218,0)</f>
        <v>0</v>
      </c>
    </row>
    <row r="219" spans="1:35" x14ac:dyDescent="0.25">
      <c r="A219" s="335">
        <v>12662.25</v>
      </c>
      <c r="B219" s="352">
        <f t="shared" si="121"/>
        <v>12.66225</v>
      </c>
      <c r="C219" s="325">
        <f t="shared" si="96"/>
        <v>26.988703447322621</v>
      </c>
      <c r="D219" s="326">
        <f t="shared" si="97"/>
        <v>1.5337353038916022</v>
      </c>
      <c r="E219" s="326">
        <f t="shared" si="98"/>
        <v>1.0005062459646663</v>
      </c>
      <c r="F219" s="327">
        <f t="shared" si="99"/>
        <v>3.1812968615758198E-2</v>
      </c>
      <c r="G219" s="326">
        <f t="shared" si="100"/>
        <v>1</v>
      </c>
      <c r="H219" s="327">
        <f t="shared" si="101"/>
        <v>0</v>
      </c>
      <c r="I219" s="325">
        <f t="shared" si="102"/>
        <v>4178.2255537011006</v>
      </c>
      <c r="J219" s="328">
        <f t="shared" si="103"/>
        <v>1.5705569907426193</v>
      </c>
      <c r="K219" s="336">
        <f t="shared" si="123"/>
        <v>3.1199114819554032</v>
      </c>
      <c r="L219" s="337">
        <f t="shared" si="124"/>
        <v>1.2445159074549343</v>
      </c>
      <c r="M219" s="325">
        <f t="shared" si="104"/>
        <v>1.0065588283644429</v>
      </c>
      <c r="N219" s="337">
        <f t="shared" si="105"/>
        <v>0.11422065785390519</v>
      </c>
      <c r="O219" s="343">
        <f t="shared" si="106"/>
        <v>1.0027033239676486</v>
      </c>
      <c r="P219" s="691">
        <f t="shared" si="107"/>
        <v>7.3447232979368879E-2</v>
      </c>
      <c r="Q219" s="336">
        <f t="shared" si="122"/>
        <v>4.1878492936253222</v>
      </c>
      <c r="R219" s="692">
        <f t="shared" si="108"/>
        <v>0.12280541466097454</v>
      </c>
      <c r="S219" s="329">
        <f t="shared" si="109"/>
        <v>0.99879427777207452</v>
      </c>
      <c r="T219" s="330">
        <f t="shared" si="110"/>
        <v>7.3424725038982147E-2</v>
      </c>
      <c r="U219" s="331">
        <f t="shared" si="111"/>
        <v>10.712770754085259</v>
      </c>
      <c r="V219" s="332">
        <f t="shared" si="112"/>
        <v>-118.3138931028642</v>
      </c>
      <c r="W219" s="334">
        <f t="shared" si="113"/>
        <v>61.686106897135801</v>
      </c>
      <c r="Y219" s="307">
        <f t="shared" si="114"/>
        <v>1000000000</v>
      </c>
      <c r="Z219" s="307">
        <f t="shared" si="115"/>
        <v>160332575.0625</v>
      </c>
      <c r="AB219" s="333">
        <f t="shared" si="116"/>
        <v>35.113448985160069</v>
      </c>
      <c r="AC219" s="334">
        <f t="shared" si="117"/>
        <v>-25.225139677318193</v>
      </c>
      <c r="AE219" s="333">
        <f t="shared" si="118"/>
        <v>5.6893393127167742E-2</v>
      </c>
      <c r="AF219" s="334">
        <f t="shared" si="119"/>
        <v>-90.260737927518591</v>
      </c>
      <c r="AH219">
        <f t="shared" si="120"/>
        <v>0</v>
      </c>
      <c r="AI219">
        <f t="shared" si="125"/>
        <v>0</v>
      </c>
    </row>
    <row r="220" spans="1:35" x14ac:dyDescent="0.25">
      <c r="A220" s="335">
        <v>12735.5</v>
      </c>
      <c r="B220" s="352">
        <f t="shared" si="121"/>
        <v>12.7355</v>
      </c>
      <c r="C220" s="325">
        <f t="shared" si="96"/>
        <v>27.144616987459859</v>
      </c>
      <c r="D220" s="326">
        <f t="shared" si="97"/>
        <v>1.5339482720650328</v>
      </c>
      <c r="E220" s="326">
        <f t="shared" si="98"/>
        <v>1.0005121185794885</v>
      </c>
      <c r="F220" s="327">
        <f t="shared" si="99"/>
        <v>3.1996878610987392E-2</v>
      </c>
      <c r="G220" s="326">
        <f t="shared" si="100"/>
        <v>1</v>
      </c>
      <c r="H220" s="327">
        <f t="shared" si="101"/>
        <v>0</v>
      </c>
      <c r="I220" s="325">
        <f t="shared" si="102"/>
        <v>4202.3962188141459</v>
      </c>
      <c r="J220" s="328">
        <f t="shared" si="103"/>
        <v>1.5705583673171681</v>
      </c>
      <c r="K220" s="336">
        <f t="shared" si="123"/>
        <v>3.1361104911551339</v>
      </c>
      <c r="L220" s="337">
        <f t="shared" si="124"/>
        <v>1.2462632020944999</v>
      </c>
      <c r="M220" s="325">
        <f t="shared" si="104"/>
        <v>1.0066346815364433</v>
      </c>
      <c r="N220" s="337">
        <f t="shared" si="105"/>
        <v>0.11487563297883382</v>
      </c>
      <c r="O220" s="343">
        <f t="shared" si="106"/>
        <v>1.0027346486434421</v>
      </c>
      <c r="P220" s="691">
        <f t="shared" si="107"/>
        <v>7.3870579152593263E-2</v>
      </c>
      <c r="Q220" s="336">
        <f t="shared" si="122"/>
        <v>4.1882109153856053</v>
      </c>
      <c r="R220" s="692">
        <f t="shared" si="108"/>
        <v>0.12350873809679259</v>
      </c>
      <c r="S220" s="329">
        <f t="shared" si="109"/>
        <v>0.9987803681181926</v>
      </c>
      <c r="T220" s="330">
        <f t="shared" si="110"/>
        <v>7.3851282595001566E-2</v>
      </c>
      <c r="U220" s="331">
        <f t="shared" si="111"/>
        <v>10.656654914059613</v>
      </c>
      <c r="V220" s="332">
        <f t="shared" si="112"/>
        <v>-118.29353305084116</v>
      </c>
      <c r="W220" s="334">
        <f t="shared" si="113"/>
        <v>61.706466949158838</v>
      </c>
      <c r="Y220" s="307">
        <f t="shared" si="114"/>
        <v>1000000000</v>
      </c>
      <c r="Z220" s="307">
        <f t="shared" si="115"/>
        <v>162192960.25</v>
      </c>
      <c r="AB220" s="333">
        <f t="shared" si="116"/>
        <v>35.107673785203225</v>
      </c>
      <c r="AC220" s="334">
        <f t="shared" si="117"/>
        <v>-25.162633251090131</v>
      </c>
      <c r="AE220" s="333">
        <f t="shared" si="118"/>
        <v>7.0314043737334372E-3</v>
      </c>
      <c r="AF220" s="334">
        <f t="shared" si="119"/>
        <v>-90.286842786199031</v>
      </c>
      <c r="AH220">
        <f t="shared" si="120"/>
        <v>0</v>
      </c>
      <c r="AI220">
        <f t="shared" si="125"/>
        <v>0</v>
      </c>
    </row>
    <row r="221" spans="1:35" x14ac:dyDescent="0.25">
      <c r="A221" s="335">
        <v>12808.75</v>
      </c>
      <c r="B221" s="352">
        <f t="shared" si="121"/>
        <v>12.80875</v>
      </c>
      <c r="C221" s="325">
        <f t="shared" si="96"/>
        <v>27.300531744690911</v>
      </c>
      <c r="D221" s="326">
        <f t="shared" si="97"/>
        <v>1.5341588077032835</v>
      </c>
      <c r="E221" s="326">
        <f t="shared" si="98"/>
        <v>1.0005180250341206</v>
      </c>
      <c r="F221" s="327">
        <f t="shared" si="99"/>
        <v>3.2180786441049575E-2</v>
      </c>
      <c r="G221" s="326">
        <f t="shared" si="100"/>
        <v>1</v>
      </c>
      <c r="H221" s="327">
        <f t="shared" si="101"/>
        <v>0</v>
      </c>
      <c r="I221" s="325">
        <f t="shared" si="102"/>
        <v>4226.5668839350628</v>
      </c>
      <c r="J221" s="328">
        <f t="shared" si="103"/>
        <v>1.5705597281471546</v>
      </c>
      <c r="K221" s="336">
        <f t="shared" si="123"/>
        <v>3.1523189766003492</v>
      </c>
      <c r="L221" s="337">
        <f t="shared" si="124"/>
        <v>1.2479925336095097</v>
      </c>
      <c r="M221" s="325">
        <f t="shared" si="104"/>
        <v>1.0067109664819023</v>
      </c>
      <c r="N221" s="337">
        <f t="shared" si="105"/>
        <v>0.11553050912133346</v>
      </c>
      <c r="O221" s="343">
        <f t="shared" si="106"/>
        <v>1.0027661530200802</v>
      </c>
      <c r="P221" s="691">
        <f t="shared" si="107"/>
        <v>7.4293898800749533E-2</v>
      </c>
      <c r="Q221" s="336">
        <f t="shared" si="122"/>
        <v>4.1885745915732207</v>
      </c>
      <c r="R221" s="692">
        <f t="shared" si="108"/>
        <v>0.12421194024739655</v>
      </c>
      <c r="S221" s="329">
        <f t="shared" si="109"/>
        <v>0.99876638009965657</v>
      </c>
      <c r="T221" s="330">
        <f t="shared" si="110"/>
        <v>7.4277871333715342E-2</v>
      </c>
      <c r="U221" s="331">
        <f t="shared" si="111"/>
        <v>10.600901613494072</v>
      </c>
      <c r="V221" s="332">
        <f t="shared" si="112"/>
        <v>-118.27405274400658</v>
      </c>
      <c r="W221" s="334">
        <f t="shared" si="113"/>
        <v>61.725947255993418</v>
      </c>
      <c r="Y221" s="307">
        <f t="shared" si="114"/>
        <v>1000000000</v>
      </c>
      <c r="Z221" s="307">
        <f t="shared" si="115"/>
        <v>164064076.5625</v>
      </c>
      <c r="AB221" s="333">
        <f t="shared" si="116"/>
        <v>35.101976618673788</v>
      </c>
      <c r="AC221" s="334">
        <f t="shared" si="117"/>
        <v>-25.101149462714748</v>
      </c>
      <c r="AE221" s="333">
        <f t="shared" si="118"/>
        <v>-4.2543430892815065E-2</v>
      </c>
      <c r="AF221" s="334">
        <f t="shared" si="119"/>
        <v>-90.312810181571706</v>
      </c>
      <c r="AH221">
        <f t="shared" si="120"/>
        <v>0</v>
      </c>
      <c r="AI221">
        <f t="shared" si="125"/>
        <v>0</v>
      </c>
    </row>
    <row r="222" spans="1:35" x14ac:dyDescent="0.25">
      <c r="A222" s="335">
        <v>12882</v>
      </c>
      <c r="B222" s="352">
        <f t="shared" si="121"/>
        <v>12.882</v>
      </c>
      <c r="C222" s="325">
        <f t="shared" si="96"/>
        <v>27.456447698281526</v>
      </c>
      <c r="D222" s="326">
        <f t="shared" si="97"/>
        <v>1.5343669522281826</v>
      </c>
      <c r="E222" s="326">
        <f t="shared" si="98"/>
        <v>1.0005239653279629</v>
      </c>
      <c r="F222" s="327">
        <f t="shared" si="99"/>
        <v>3.2364692093542889E-2</v>
      </c>
      <c r="G222" s="326">
        <f t="shared" si="100"/>
        <v>1</v>
      </c>
      <c r="H222" s="327">
        <f t="shared" si="101"/>
        <v>0</v>
      </c>
      <c r="I222" s="325">
        <f t="shared" si="102"/>
        <v>4250.7375490637187</v>
      </c>
      <c r="J222" s="328">
        <f t="shared" si="103"/>
        <v>1.5705610735011608</v>
      </c>
      <c r="K222" s="336">
        <f t="shared" si="123"/>
        <v>3.1685367928653281</v>
      </c>
      <c r="L222" s="337">
        <f t="shared" si="124"/>
        <v>1.2497041674034028</v>
      </c>
      <c r="M222" s="325">
        <f t="shared" si="104"/>
        <v>1.0067876831026721</v>
      </c>
      <c r="N222" s="337">
        <f t="shared" si="105"/>
        <v>0.11618528574226419</v>
      </c>
      <c r="O222" s="343">
        <f t="shared" si="106"/>
        <v>1.0027978370806268</v>
      </c>
      <c r="P222" s="691">
        <f t="shared" si="107"/>
        <v>7.4717191774627503E-2</v>
      </c>
      <c r="Q222" s="336">
        <f t="shared" si="122"/>
        <v>4.1889403216531189</v>
      </c>
      <c r="R222" s="692">
        <f t="shared" si="108"/>
        <v>0.12491502045755633</v>
      </c>
      <c r="S222" s="329">
        <f t="shared" si="109"/>
        <v>0.99875231374880258</v>
      </c>
      <c r="T222" s="330">
        <f t="shared" si="110"/>
        <v>7.4704491434458078E-2</v>
      </c>
      <c r="U222" s="331">
        <f t="shared" si="111"/>
        <v>10.54550590420844</v>
      </c>
      <c r="V222" s="332">
        <f t="shared" si="112"/>
        <v>-118.25543931565052</v>
      </c>
      <c r="W222" s="334">
        <f t="shared" si="113"/>
        <v>61.74456068434948</v>
      </c>
      <c r="Y222" s="307">
        <f t="shared" si="114"/>
        <v>1000000000</v>
      </c>
      <c r="Z222" s="307">
        <f t="shared" si="115"/>
        <v>165945924</v>
      </c>
      <c r="AB222" s="333">
        <f t="shared" si="116"/>
        <v>35.09635578642915</v>
      </c>
      <c r="AC222" s="334">
        <f t="shared" si="117"/>
        <v>-25.04067309019328</v>
      </c>
      <c r="AE222" s="333">
        <f t="shared" si="118"/>
        <v>-9.1834363625049625E-2</v>
      </c>
      <c r="AF222" s="334">
        <f t="shared" si="119"/>
        <v>-90.338642497918229</v>
      </c>
      <c r="AH222">
        <f t="shared" si="120"/>
        <v>0</v>
      </c>
      <c r="AI222">
        <f t="shared" si="125"/>
        <v>0</v>
      </c>
    </row>
    <row r="223" spans="1:35" x14ac:dyDescent="0.25">
      <c r="A223" s="335">
        <v>12957.25</v>
      </c>
      <c r="B223" s="352">
        <f t="shared" si="121"/>
        <v>12.95725</v>
      </c>
      <c r="C223" s="325">
        <f t="shared" si="96"/>
        <v>27.616621967265889</v>
      </c>
      <c r="D223" s="326">
        <f t="shared" si="97"/>
        <v>1.5345783324833673</v>
      </c>
      <c r="E223" s="326">
        <f t="shared" si="98"/>
        <v>1.0005301030512253</v>
      </c>
      <c r="F223" s="327">
        <f t="shared" si="99"/>
        <v>3.2553616780184806E-2</v>
      </c>
      <c r="G223" s="326">
        <f t="shared" si="100"/>
        <v>1</v>
      </c>
      <c r="H223" s="327">
        <f t="shared" si="101"/>
        <v>0</v>
      </c>
      <c r="I223" s="325">
        <f t="shared" si="102"/>
        <v>4275.5681641014171</v>
      </c>
      <c r="J223" s="328">
        <f t="shared" si="103"/>
        <v>1.5705624397486058</v>
      </c>
      <c r="K223" s="336">
        <f t="shared" si="123"/>
        <v>3.1852069830794516</v>
      </c>
      <c r="L223" s="337">
        <f t="shared" si="124"/>
        <v>1.2514443796957153</v>
      </c>
      <c r="M223" s="325">
        <f t="shared" si="104"/>
        <v>1.0068669437872659</v>
      </c>
      <c r="N223" s="337">
        <f t="shared" si="105"/>
        <v>0.11685783602252113</v>
      </c>
      <c r="O223" s="343">
        <f t="shared" si="106"/>
        <v>1.0028305733270324</v>
      </c>
      <c r="P223" s="691">
        <f t="shared" si="107"/>
        <v>7.5152014302433262E-2</v>
      </c>
      <c r="Q223" s="336">
        <f t="shared" si="122"/>
        <v>4.1893181757483386</v>
      </c>
      <c r="R223" s="692">
        <f t="shared" si="108"/>
        <v>0.12563716972918657</v>
      </c>
      <c r="S223" s="329">
        <f t="shared" si="109"/>
        <v>0.99873778179827266</v>
      </c>
      <c r="T223" s="330">
        <f t="shared" si="110"/>
        <v>7.51427927122124E-2</v>
      </c>
      <c r="U223" s="331">
        <f t="shared" si="111"/>
        <v>10.488964958470657</v>
      </c>
      <c r="V223" s="332">
        <f t="shared" si="112"/>
        <v>-118.23720710104178</v>
      </c>
      <c r="W223" s="334">
        <f t="shared" si="113"/>
        <v>61.762792898958224</v>
      </c>
      <c r="Y223" s="307">
        <f t="shared" si="114"/>
        <v>1000000000</v>
      </c>
      <c r="Z223" s="307">
        <f t="shared" si="115"/>
        <v>167890327.5625</v>
      </c>
      <c r="AB223" s="333">
        <f t="shared" si="116"/>
        <v>35.090659233769166</v>
      </c>
      <c r="AC223" s="334">
        <f t="shared" si="117"/>
        <v>-24.979578843098608</v>
      </c>
      <c r="AE223" s="333">
        <f t="shared" si="118"/>
        <v>-0.14217884604515799</v>
      </c>
      <c r="AF223" s="334">
        <f t="shared" si="119"/>
        <v>-90.365041920622986</v>
      </c>
      <c r="AH223">
        <f t="shared" si="120"/>
        <v>0</v>
      </c>
      <c r="AI223">
        <f t="shared" si="125"/>
        <v>0</v>
      </c>
    </row>
    <row r="224" spans="1:35" x14ac:dyDescent="0.25">
      <c r="A224" s="335">
        <v>13032.5</v>
      </c>
      <c r="B224" s="352">
        <f t="shared" si="121"/>
        <v>13.032500000000001</v>
      </c>
      <c r="C224" s="325">
        <f t="shared" si="96"/>
        <v>27.776797455974265</v>
      </c>
      <c r="D224" s="326">
        <f t="shared" si="97"/>
        <v>1.5347872748903937</v>
      </c>
      <c r="E224" s="326">
        <f t="shared" si="98"/>
        <v>1.000536276485507</v>
      </c>
      <c r="F224" s="327">
        <f t="shared" si="99"/>
        <v>3.2742539142191766E-2</v>
      </c>
      <c r="G224" s="326">
        <f t="shared" si="100"/>
        <v>1</v>
      </c>
      <c r="H224" s="327">
        <f t="shared" si="101"/>
        <v>0</v>
      </c>
      <c r="I224" s="325">
        <f t="shared" si="102"/>
        <v>4300.3987791470054</v>
      </c>
      <c r="J224" s="328">
        <f t="shared" si="103"/>
        <v>1.5705637902185536</v>
      </c>
      <c r="K224" s="336">
        <f t="shared" si="123"/>
        <v>3.201886718722601</v>
      </c>
      <c r="L224" s="337">
        <f t="shared" si="124"/>
        <v>1.2531664664221678</v>
      </c>
      <c r="M224" s="325">
        <f t="shared" si="104"/>
        <v>1.0069466598300043</v>
      </c>
      <c r="N224" s="337">
        <f t="shared" si="105"/>
        <v>0.11753028012053139</v>
      </c>
      <c r="O224" s="343">
        <f t="shared" si="106"/>
        <v>1.0028634991668477</v>
      </c>
      <c r="P224" s="691">
        <f t="shared" si="107"/>
        <v>7.5586808360406252E-2</v>
      </c>
      <c r="Q224" s="336">
        <f t="shared" si="122"/>
        <v>4.1896981962710127</v>
      </c>
      <c r="R224" s="692">
        <f t="shared" si="108"/>
        <v>0.1263591889110193</v>
      </c>
      <c r="S224" s="329">
        <f t="shared" si="109"/>
        <v>0.99872316724928711</v>
      </c>
      <c r="T224" s="330">
        <f t="shared" si="110"/>
        <v>7.5581127471666107E-2</v>
      </c>
      <c r="U224" s="331">
        <f t="shared" si="111"/>
        <v>10.432791127101833</v>
      </c>
      <c r="V224" s="332">
        <f t="shared" si="112"/>
        <v>-118.21986296782673</v>
      </c>
      <c r="W224" s="334">
        <f t="shared" si="113"/>
        <v>61.780137032173272</v>
      </c>
      <c r="Y224" s="307">
        <f t="shared" si="114"/>
        <v>1000000000</v>
      </c>
      <c r="Z224" s="307">
        <f t="shared" si="115"/>
        <v>169846056.25</v>
      </c>
      <c r="AB224" s="333">
        <f t="shared" si="116"/>
        <v>35.085039744412313</v>
      </c>
      <c r="AC224" s="334">
        <f t="shared" si="117"/>
        <v>-24.919516126651583</v>
      </c>
      <c r="AE224" s="333">
        <f t="shared" si="118"/>
        <v>-0.19223048955048547</v>
      </c>
      <c r="AF224" s="334">
        <f t="shared" si="119"/>
        <v>-90.39130371646884</v>
      </c>
      <c r="AH224">
        <f t="shared" si="120"/>
        <v>0</v>
      </c>
      <c r="AI224">
        <f t="shared" si="125"/>
        <v>0</v>
      </c>
    </row>
    <row r="225" spans="1:35" x14ac:dyDescent="0.25">
      <c r="A225" s="335">
        <v>13107.75</v>
      </c>
      <c r="B225" s="352">
        <f t="shared" si="121"/>
        <v>13.107749999999999</v>
      </c>
      <c r="C225" s="325">
        <f t="shared" si="96"/>
        <v>27.936974143426948</v>
      </c>
      <c r="D225" s="326">
        <f t="shared" si="97"/>
        <v>1.5349938213630789</v>
      </c>
      <c r="E225" s="326">
        <f t="shared" si="98"/>
        <v>1.0005424856301466</v>
      </c>
      <c r="F225" s="327">
        <f t="shared" si="99"/>
        <v>3.2931459166121016E-2</v>
      </c>
      <c r="G225" s="326">
        <f t="shared" si="100"/>
        <v>1</v>
      </c>
      <c r="H225" s="327">
        <f t="shared" si="101"/>
        <v>0</v>
      </c>
      <c r="I225" s="325">
        <f t="shared" si="102"/>
        <v>4325.2293942003462</v>
      </c>
      <c r="J225" s="328">
        <f t="shared" si="103"/>
        <v>1.5705651251827348</v>
      </c>
      <c r="K225" s="336">
        <f t="shared" si="123"/>
        <v>3.2185758513919702</v>
      </c>
      <c r="L225" s="337">
        <f t="shared" si="124"/>
        <v>1.2548706992455976</v>
      </c>
      <c r="M225" s="325">
        <f t="shared" si="104"/>
        <v>1.0070268311227493</v>
      </c>
      <c r="N225" s="337">
        <f t="shared" si="105"/>
        <v>0.11820261745345061</v>
      </c>
      <c r="O225" s="343">
        <f t="shared" si="106"/>
        <v>1.0028966145813989</v>
      </c>
      <c r="P225" s="691">
        <f t="shared" si="107"/>
        <v>7.6021573786966626E-2</v>
      </c>
      <c r="Q225" s="336">
        <f t="shared" si="122"/>
        <v>4.1900803826317263</v>
      </c>
      <c r="R225" s="692">
        <f t="shared" si="108"/>
        <v>0.12708107729501547</v>
      </c>
      <c r="S225" s="329">
        <f t="shared" si="109"/>
        <v>0.99870847013752251</v>
      </c>
      <c r="T225" s="330">
        <f t="shared" si="110"/>
        <v>7.6019495907245702E-2</v>
      </c>
      <c r="U225" s="331">
        <f t="shared" si="111"/>
        <v>10.376979361179492</v>
      </c>
      <c r="V225" s="332">
        <f t="shared" si="112"/>
        <v>-118.2033937151308</v>
      </c>
      <c r="W225" s="334">
        <f t="shared" si="113"/>
        <v>61.796606284869199</v>
      </c>
      <c r="Y225" s="307">
        <f t="shared" si="114"/>
        <v>1000000000</v>
      </c>
      <c r="Z225" s="307">
        <f t="shared" si="115"/>
        <v>171813110.0625</v>
      </c>
      <c r="AB225" s="333">
        <f t="shared" si="116"/>
        <v>35.079495614693833</v>
      </c>
      <c r="AC225" s="334">
        <f t="shared" si="117"/>
        <v>-24.860469357892658</v>
      </c>
      <c r="AE225" s="333">
        <f t="shared" si="118"/>
        <v>-0.24199264150701769</v>
      </c>
      <c r="AF225" s="334">
        <f t="shared" si="119"/>
        <v>-90.417430298850689</v>
      </c>
      <c r="AH225">
        <f t="shared" si="120"/>
        <v>0</v>
      </c>
      <c r="AI225">
        <f t="shared" si="125"/>
        <v>0</v>
      </c>
    </row>
    <row r="226" spans="1:35" x14ac:dyDescent="0.25">
      <c r="A226" s="335">
        <v>13183</v>
      </c>
      <c r="B226" s="352">
        <f t="shared" si="121"/>
        <v>13.183</v>
      </c>
      <c r="C226" s="325">
        <f t="shared" si="96"/>
        <v>28.097152009122464</v>
      </c>
      <c r="D226" s="326">
        <f t="shared" si="97"/>
        <v>1.5351980128602896</v>
      </c>
      <c r="E226" s="326">
        <f t="shared" si="98"/>
        <v>1.0005487304844793</v>
      </c>
      <c r="F226" s="327">
        <f t="shared" si="99"/>
        <v>3.31203768385308E-2</v>
      </c>
      <c r="G226" s="326">
        <f t="shared" si="100"/>
        <v>1</v>
      </c>
      <c r="H226" s="327">
        <f t="shared" si="101"/>
        <v>0</v>
      </c>
      <c r="I226" s="325">
        <f t="shared" si="102"/>
        <v>4350.0600092613067</v>
      </c>
      <c r="J226" s="328">
        <f t="shared" si="103"/>
        <v>1.5705664449066747</v>
      </c>
      <c r="K226" s="336">
        <f t="shared" si="123"/>
        <v>3.2352742356641397</v>
      </c>
      <c r="L226" s="337">
        <f t="shared" si="124"/>
        <v>1.2565573446398459</v>
      </c>
      <c r="M226" s="325">
        <f t="shared" si="104"/>
        <v>1.0071074575567796</v>
      </c>
      <c r="N226" s="337">
        <f t="shared" si="105"/>
        <v>0.11887484743900562</v>
      </c>
      <c r="O226" s="343">
        <f t="shared" si="106"/>
        <v>1.0029299195519077</v>
      </c>
      <c r="P226" s="691">
        <f t="shared" si="107"/>
        <v>7.6456310420599097E-2</v>
      </c>
      <c r="Q226" s="336">
        <f t="shared" si="122"/>
        <v>4.1904647342379233</v>
      </c>
      <c r="R226" s="692">
        <f t="shared" si="108"/>
        <v>0.12780283417393459</v>
      </c>
      <c r="S226" s="329">
        <f t="shared" si="109"/>
        <v>0.99869369049886447</v>
      </c>
      <c r="T226" s="330">
        <f t="shared" si="110"/>
        <v>7.645789821337691E-2</v>
      </c>
      <c r="U226" s="331">
        <f t="shared" si="111"/>
        <v>10.321524712965367</v>
      </c>
      <c r="V226" s="332">
        <f t="shared" si="112"/>
        <v>-118.18778638439171</v>
      </c>
      <c r="W226" s="334">
        <f t="shared" si="113"/>
        <v>61.812213615608286</v>
      </c>
      <c r="Y226" s="307">
        <f t="shared" si="114"/>
        <v>1000000000</v>
      </c>
      <c r="Z226" s="307">
        <f t="shared" si="115"/>
        <v>173791489</v>
      </c>
      <c r="AB226" s="333">
        <f t="shared" si="116"/>
        <v>35.074025184939259</v>
      </c>
      <c r="AC226" s="334">
        <f t="shared" si="117"/>
        <v>-24.802423250847045</v>
      </c>
      <c r="AE226" s="333">
        <f t="shared" si="118"/>
        <v>-0.29146859209759868</v>
      </c>
      <c r="AF226" s="334">
        <f t="shared" si="119"/>
        <v>-90.443424026448625</v>
      </c>
      <c r="AH226">
        <f t="shared" si="120"/>
        <v>0</v>
      </c>
      <c r="AI226">
        <f t="shared" si="125"/>
        <v>0</v>
      </c>
    </row>
    <row r="227" spans="1:35" x14ac:dyDescent="0.25">
      <c r="A227" s="335">
        <v>13259.75</v>
      </c>
      <c r="B227" s="352">
        <f t="shared" si="121"/>
        <v>13.25975</v>
      </c>
      <c r="C227" s="325">
        <f t="shared" si="96"/>
        <v>28.260523982016487</v>
      </c>
      <c r="D227" s="326">
        <f t="shared" si="97"/>
        <v>1.5354038902671545</v>
      </c>
      <c r="E227" s="326">
        <f t="shared" si="98"/>
        <v>1.0005551366047845</v>
      </c>
      <c r="F227" s="327">
        <f t="shared" si="99"/>
        <v>3.3313057875484373E-2</v>
      </c>
      <c r="G227" s="326">
        <f t="shared" si="100"/>
        <v>1</v>
      </c>
      <c r="H227" s="327">
        <f t="shared" si="101"/>
        <v>0</v>
      </c>
      <c r="I227" s="325">
        <f t="shared" si="102"/>
        <v>4375.3855867564471</v>
      </c>
      <c r="J227" s="328">
        <f t="shared" si="103"/>
        <v>1.5705677755075009</v>
      </c>
      <c r="K227" s="336">
        <f t="shared" si="123"/>
        <v>3.2523148603947654</v>
      </c>
      <c r="L227" s="337">
        <f t="shared" si="124"/>
        <v>1.258259765113092</v>
      </c>
      <c r="M227" s="325">
        <f t="shared" si="104"/>
        <v>1.0071901598894928</v>
      </c>
      <c r="N227" s="337">
        <f t="shared" si="105"/>
        <v>0.11956036617622816</v>
      </c>
      <c r="O227" s="343">
        <f t="shared" si="106"/>
        <v>1.0029640836506934</v>
      </c>
      <c r="P227" s="691">
        <f t="shared" si="107"/>
        <v>7.689968307376821E-2</v>
      </c>
      <c r="Q227" s="336">
        <f t="shared" si="122"/>
        <v>4.1908589771374309</v>
      </c>
      <c r="R227" s="692">
        <f t="shared" si="108"/>
        <v>0.12853884203738261</v>
      </c>
      <c r="S227" s="329">
        <f t="shared" si="109"/>
        <v>0.99867853127602746</v>
      </c>
      <c r="T227" s="330">
        <f t="shared" si="110"/>
        <v>7.6905074527538503E-2</v>
      </c>
      <c r="U227" s="331">
        <f t="shared" si="111"/>
        <v>10.265327495249942</v>
      </c>
      <c r="V227" s="332">
        <f t="shared" si="112"/>
        <v>-118.17274261881876</v>
      </c>
      <c r="W227" s="334">
        <f t="shared" si="113"/>
        <v>61.827257381181241</v>
      </c>
      <c r="Y227" s="307">
        <f t="shared" si="114"/>
        <v>1000000000</v>
      </c>
      <c r="Z227" s="307">
        <f t="shared" si="115"/>
        <v>175820970.0625</v>
      </c>
      <c r="AB227" s="333">
        <f t="shared" si="116"/>
        <v>35.068519951792872</v>
      </c>
      <c r="AC227" s="334">
        <f t="shared" si="117"/>
        <v>-24.744235310938436</v>
      </c>
      <c r="AE227" s="333">
        <f t="shared" si="118"/>
        <v>-0.3416393120149302</v>
      </c>
      <c r="AF227" s="334">
        <f t="shared" si="119"/>
        <v>-90.469801438279262</v>
      </c>
      <c r="AH227">
        <f t="shared" si="120"/>
        <v>0</v>
      </c>
      <c r="AI227">
        <f t="shared" si="125"/>
        <v>0</v>
      </c>
    </row>
    <row r="228" spans="1:35" x14ac:dyDescent="0.25">
      <c r="A228" s="335">
        <v>13336.5</v>
      </c>
      <c r="B228" s="352">
        <f t="shared" si="121"/>
        <v>13.336499999999999</v>
      </c>
      <c r="C228" s="325">
        <f t="shared" si="96"/>
        <v>28.423897138977495</v>
      </c>
      <c r="D228" s="326">
        <f t="shared" si="97"/>
        <v>1.5356074010231464</v>
      </c>
      <c r="E228" s="326">
        <f t="shared" si="98"/>
        <v>1.0005615798712051</v>
      </c>
      <c r="F228" s="327">
        <f t="shared" si="99"/>
        <v>3.3505736437994357E-2</v>
      </c>
      <c r="G228" s="326">
        <f t="shared" si="100"/>
        <v>1</v>
      </c>
      <c r="H228" s="327">
        <f t="shared" si="101"/>
        <v>0</v>
      </c>
      <c r="I228" s="325">
        <f t="shared" si="102"/>
        <v>4400.7111642592445</v>
      </c>
      <c r="J228" s="328">
        <f t="shared" si="103"/>
        <v>1.5705690907934231</v>
      </c>
      <c r="K228" s="336">
        <f t="shared" si="123"/>
        <v>3.2693648128234662</v>
      </c>
      <c r="L228" s="337">
        <f t="shared" si="124"/>
        <v>1.2599444339571937</v>
      </c>
      <c r="M228" s="325">
        <f t="shared" si="104"/>
        <v>1.0072733354592069</v>
      </c>
      <c r="N228" s="337">
        <f t="shared" si="105"/>
        <v>0.12024577202211922</v>
      </c>
      <c r="O228" s="343">
        <f t="shared" si="106"/>
        <v>1.0029984448980123</v>
      </c>
      <c r="P228" s="691">
        <f t="shared" si="107"/>
        <v>7.7343025435498022E-2</v>
      </c>
      <c r="Q228" s="336">
        <f t="shared" si="122"/>
        <v>4.1912554712097663</v>
      </c>
      <c r="R228" s="692">
        <f t="shared" si="108"/>
        <v>0.12927471161722554</v>
      </c>
      <c r="S228" s="329">
        <f t="shared" si="109"/>
        <v>0.99866328627946599</v>
      </c>
      <c r="T228" s="330">
        <f t="shared" si="110"/>
        <v>7.735228648456835E-2</v>
      </c>
      <c r="U228" s="331">
        <f t="shared" si="111"/>
        <v>10.209491688175188</v>
      </c>
      <c r="V228" s="332">
        <f t="shared" si="112"/>
        <v>-118.15856899835926</v>
      </c>
      <c r="W228" s="334">
        <f t="shared" si="113"/>
        <v>61.841431001640743</v>
      </c>
      <c r="Y228" s="307">
        <f t="shared" si="114"/>
        <v>1000000000</v>
      </c>
      <c r="Z228" s="307">
        <f t="shared" si="115"/>
        <v>177862232.25</v>
      </c>
      <c r="AB228" s="333">
        <f t="shared" si="116"/>
        <v>35.063088032782176</v>
      </c>
      <c r="AC228" s="334">
        <f t="shared" si="117"/>
        <v>-24.687057118784242</v>
      </c>
      <c r="AE228" s="333">
        <f t="shared" si="118"/>
        <v>-0.391519044211533</v>
      </c>
      <c r="AF228" s="334">
        <f t="shared" si="119"/>
        <v>-90.49604543496423</v>
      </c>
      <c r="AH228">
        <f t="shared" si="120"/>
        <v>0</v>
      </c>
      <c r="AI228">
        <f t="shared" si="125"/>
        <v>0</v>
      </c>
    </row>
    <row r="229" spans="1:35" x14ac:dyDescent="0.25">
      <c r="A229" s="335">
        <v>13413.25</v>
      </c>
      <c r="B229" s="352">
        <f t="shared" si="121"/>
        <v>13.41325</v>
      </c>
      <c r="C229" s="325">
        <f t="shared" si="96"/>
        <v>28.58727145970505</v>
      </c>
      <c r="D229" s="326">
        <f t="shared" si="97"/>
        <v>1.5358085856870103</v>
      </c>
      <c r="E229" s="326">
        <f t="shared" si="98"/>
        <v>1.0005680602830236</v>
      </c>
      <c r="F229" s="327">
        <f t="shared" si="99"/>
        <v>3.3698412511802292E-2</v>
      </c>
      <c r="G229" s="326">
        <f t="shared" si="100"/>
        <v>1</v>
      </c>
      <c r="H229" s="327">
        <f t="shared" si="101"/>
        <v>0</v>
      </c>
      <c r="I229" s="325">
        <f t="shared" si="102"/>
        <v>4426.0367417695679</v>
      </c>
      <c r="J229" s="328">
        <f t="shared" si="103"/>
        <v>1.570570391027335</v>
      </c>
      <c r="K229" s="336">
        <f t="shared" si="123"/>
        <v>3.286423947774082</v>
      </c>
      <c r="L229" s="337">
        <f t="shared" si="124"/>
        <v>1.2616116179693806</v>
      </c>
      <c r="M229" s="325">
        <f t="shared" si="104"/>
        <v>1.0073569841486989</v>
      </c>
      <c r="N229" s="337">
        <f t="shared" si="105"/>
        <v>0.12093106436074107</v>
      </c>
      <c r="O229" s="343">
        <f t="shared" si="106"/>
        <v>1.003033003273603</v>
      </c>
      <c r="P229" s="691">
        <f t="shared" si="107"/>
        <v>7.7786337334630612E-2</v>
      </c>
      <c r="Q229" s="336">
        <f t="shared" si="122"/>
        <v>4.1916542158161505</v>
      </c>
      <c r="R229" s="692">
        <f t="shared" si="108"/>
        <v>0.1300104421656722</v>
      </c>
      <c r="S229" s="329">
        <f t="shared" si="109"/>
        <v>0.99864795554792796</v>
      </c>
      <c r="T229" s="330">
        <f t="shared" si="110"/>
        <v>7.77995342907494E-2</v>
      </c>
      <c r="U229" s="331">
        <f t="shared" si="111"/>
        <v>10.15401235080137</v>
      </c>
      <c r="V229" s="332">
        <f t="shared" si="112"/>
        <v>-118.14525251987236</v>
      </c>
      <c r="W229" s="334">
        <f t="shared" si="113"/>
        <v>61.854747480127642</v>
      </c>
      <c r="Y229" s="307">
        <f t="shared" si="114"/>
        <v>1000000000</v>
      </c>
      <c r="Z229" s="307">
        <f t="shared" si="115"/>
        <v>179915275.5625</v>
      </c>
      <c r="AB229" s="333">
        <f t="shared" si="116"/>
        <v>35.05772779997055</v>
      </c>
      <c r="AC229" s="334">
        <f t="shared" si="117"/>
        <v>-24.630873367801257</v>
      </c>
      <c r="AE229" s="333">
        <f t="shared" si="118"/>
        <v>-0.44111110397337838</v>
      </c>
      <c r="AF229" s="334">
        <f t="shared" si="119"/>
        <v>-90.522158352984533</v>
      </c>
      <c r="AH229">
        <f t="shared" si="120"/>
        <v>0</v>
      </c>
      <c r="AI229">
        <f t="shared" si="125"/>
        <v>0</v>
      </c>
    </row>
    <row r="230" spans="1:35" x14ac:dyDescent="0.25">
      <c r="A230" s="335">
        <v>13490</v>
      </c>
      <c r="B230" s="352">
        <f t="shared" si="121"/>
        <v>13.49</v>
      </c>
      <c r="C230" s="325">
        <f t="shared" si="96"/>
        <v>28.750646924359994</v>
      </c>
      <c r="D230" s="326">
        <f t="shared" si="97"/>
        <v>1.5360074838963542</v>
      </c>
      <c r="E230" s="326">
        <f t="shared" si="98"/>
        <v>1.0005745778395183</v>
      </c>
      <c r="F230" s="327">
        <f t="shared" si="99"/>
        <v>3.3891086082650845E-2</v>
      </c>
      <c r="G230" s="326">
        <f t="shared" si="100"/>
        <v>1</v>
      </c>
      <c r="H230" s="327">
        <f t="shared" si="101"/>
        <v>0</v>
      </c>
      <c r="I230" s="325">
        <f t="shared" si="102"/>
        <v>4451.3623192872892</v>
      </c>
      <c r="J230" s="328">
        <f t="shared" si="103"/>
        <v>1.570571676466147</v>
      </c>
      <c r="K230" s="336">
        <f t="shared" si="123"/>
        <v>3.3034921229918051</v>
      </c>
      <c r="L230" s="337">
        <f t="shared" si="124"/>
        <v>1.2632615788262902</v>
      </c>
      <c r="M230" s="325">
        <f t="shared" si="104"/>
        <v>1.007441105840118</v>
      </c>
      <c r="N230" s="337">
        <f t="shared" si="105"/>
        <v>0.1216162425767864</v>
      </c>
      <c r="O230" s="343">
        <f t="shared" si="106"/>
        <v>1.0030677587570904</v>
      </c>
      <c r="P230" s="691">
        <f t="shared" si="107"/>
        <v>7.8229618600079417E-2</v>
      </c>
      <c r="Q230" s="336">
        <f t="shared" si="122"/>
        <v>4.19205521031442</v>
      </c>
      <c r="R230" s="692">
        <f t="shared" si="108"/>
        <v>0.13074603293581225</v>
      </c>
      <c r="S230" s="329">
        <f t="shared" si="109"/>
        <v>0.99863253912038719</v>
      </c>
      <c r="T230" s="330">
        <f t="shared" si="110"/>
        <v>7.8246818152363798E-2</v>
      </c>
      <c r="U230" s="331">
        <f t="shared" si="111"/>
        <v>10.098884640739254</v>
      </c>
      <c r="V230" s="332">
        <f t="shared" si="112"/>
        <v>-118.1327804205678</v>
      </c>
      <c r="W230" s="334">
        <f t="shared" si="113"/>
        <v>61.867219579432202</v>
      </c>
      <c r="Y230" s="307">
        <f t="shared" si="114"/>
        <v>1000000000</v>
      </c>
      <c r="Z230" s="307">
        <f t="shared" si="115"/>
        <v>181980100</v>
      </c>
      <c r="AB230" s="333">
        <f t="shared" si="116"/>
        <v>35.052437667498779</v>
      </c>
      <c r="AC230" s="334">
        <f t="shared" si="117"/>
        <v>-24.57566904448792</v>
      </c>
      <c r="AE230" s="333">
        <f t="shared" si="118"/>
        <v>-0.49041875012495295</v>
      </c>
      <c r="AF230" s="334">
        <f t="shared" si="119"/>
        <v>-90.548142476043822</v>
      </c>
      <c r="AH230">
        <f t="shared" si="120"/>
        <v>0</v>
      </c>
      <c r="AI230">
        <f t="shared" si="125"/>
        <v>0</v>
      </c>
    </row>
    <row r="231" spans="1:35" x14ac:dyDescent="0.25">
      <c r="A231" s="335">
        <v>13568.5</v>
      </c>
      <c r="B231" s="352">
        <f t="shared" si="121"/>
        <v>13.5685</v>
      </c>
      <c r="C231" s="325">
        <f t="shared" si="96"/>
        <v>28.917748725616427</v>
      </c>
      <c r="D231" s="326">
        <f t="shared" si="97"/>
        <v>1.5362085923709374</v>
      </c>
      <c r="E231" s="326">
        <f t="shared" si="98"/>
        <v>1.000581282428789</v>
      </c>
      <c r="F231" s="327">
        <f t="shared" si="99"/>
        <v>3.4088150257879486E-2</v>
      </c>
      <c r="G231" s="326">
        <f t="shared" si="100"/>
        <v>1</v>
      </c>
      <c r="H231" s="327">
        <f t="shared" si="101"/>
        <v>0</v>
      </c>
      <c r="I231" s="325">
        <f t="shared" si="102"/>
        <v>4477.2653529774316</v>
      </c>
      <c r="J231" s="328">
        <f t="shared" si="103"/>
        <v>1.5705729761713627</v>
      </c>
      <c r="K231" s="336">
        <f t="shared" si="123"/>
        <v>3.3209586813669021</v>
      </c>
      <c r="L231" s="337">
        <f t="shared" si="124"/>
        <v>1.2649316117498455</v>
      </c>
      <c r="M231" s="325">
        <f t="shared" si="104"/>
        <v>1.0075276347946851</v>
      </c>
      <c r="N231" s="337">
        <f t="shared" si="105"/>
        <v>0.12231692505275453</v>
      </c>
      <c r="O231" s="343">
        <f t="shared" si="106"/>
        <v>1.0031035105901396</v>
      </c>
      <c r="P231" s="691">
        <f t="shared" si="107"/>
        <v>7.8682975388314425E-2</v>
      </c>
      <c r="Q231" s="336">
        <f t="shared" si="122"/>
        <v>4.1924676747642806</v>
      </c>
      <c r="R231" s="692">
        <f t="shared" si="108"/>
        <v>0.13149825076100788</v>
      </c>
      <c r="S231" s="329">
        <f t="shared" si="109"/>
        <v>0.99861668256982306</v>
      </c>
      <c r="T231" s="330">
        <f t="shared" si="110"/>
        <v>7.8704338181787237E-2</v>
      </c>
      <c r="U231" s="331">
        <f t="shared" si="111"/>
        <v>10.042858745400894</v>
      </c>
      <c r="V231" s="332">
        <f t="shared" si="112"/>
        <v>-118.12088436275333</v>
      </c>
      <c r="W231" s="334">
        <f t="shared" si="113"/>
        <v>61.87911563724667</v>
      </c>
      <c r="Y231" s="307">
        <f t="shared" si="114"/>
        <v>1000000000</v>
      </c>
      <c r="Z231" s="307">
        <f t="shared" si="115"/>
        <v>184104192.25</v>
      </c>
      <c r="AB231" s="333">
        <f t="shared" si="116"/>
        <v>35.047097819029858</v>
      </c>
      <c r="AC231" s="334">
        <f t="shared" si="117"/>
        <v>-24.520203822532149</v>
      </c>
      <c r="AE231" s="333">
        <f t="shared" si="118"/>
        <v>-0.54055979871452797</v>
      </c>
      <c r="AF231" s="334">
        <f t="shared" si="119"/>
        <v>-90.574588164086791</v>
      </c>
      <c r="AH231">
        <f t="shared" si="120"/>
        <v>0</v>
      </c>
      <c r="AI231">
        <f t="shared" si="125"/>
        <v>0</v>
      </c>
    </row>
    <row r="232" spans="1:35" x14ac:dyDescent="0.25">
      <c r="A232" s="335">
        <v>13647</v>
      </c>
      <c r="B232" s="352">
        <f t="shared" si="121"/>
        <v>13.647</v>
      </c>
      <c r="C232" s="325">
        <f t="shared" si="96"/>
        <v>29.084851683001069</v>
      </c>
      <c r="D232" s="326">
        <f t="shared" si="97"/>
        <v>1.5364073899721207</v>
      </c>
      <c r="E232" s="326">
        <f t="shared" si="98"/>
        <v>1.0005880258744007</v>
      </c>
      <c r="F232" s="327">
        <f t="shared" si="99"/>
        <v>3.428521178453961E-2</v>
      </c>
      <c r="G232" s="326">
        <f t="shared" si="100"/>
        <v>1</v>
      </c>
      <c r="H232" s="327">
        <f t="shared" si="101"/>
        <v>0</v>
      </c>
      <c r="I232" s="325">
        <f t="shared" si="102"/>
        <v>4503.1683866750491</v>
      </c>
      <c r="J232" s="328">
        <f t="shared" si="103"/>
        <v>1.5705742609243025</v>
      </c>
      <c r="K232" s="336">
        <f t="shared" si="123"/>
        <v>3.3384344049950805</v>
      </c>
      <c r="L232" s="337">
        <f t="shared" si="124"/>
        <v>1.2665841649785221</v>
      </c>
      <c r="M232" s="325">
        <f t="shared" si="104"/>
        <v>1.0076146583158228</v>
      </c>
      <c r="N232" s="337">
        <f t="shared" si="105"/>
        <v>0.12301748684250866</v>
      </c>
      <c r="O232" s="343">
        <f t="shared" si="106"/>
        <v>1.0031394685787178</v>
      </c>
      <c r="P232" s="691">
        <f t="shared" si="107"/>
        <v>7.9136299768157906E-2</v>
      </c>
      <c r="Q232" s="336">
        <f t="shared" si="122"/>
        <v>4.1928824915069907</v>
      </c>
      <c r="R232" s="692">
        <f t="shared" si="108"/>
        <v>0.13225032078327467</v>
      </c>
      <c r="S232" s="329">
        <f t="shared" si="109"/>
        <v>0.99860073645394054</v>
      </c>
      <c r="T232" s="330">
        <f t="shared" si="110"/>
        <v>7.9161896366120768E-2</v>
      </c>
      <c r="U232" s="331">
        <f t="shared" si="111"/>
        <v>9.9871907530459012</v>
      </c>
      <c r="V232" s="332">
        <f t="shared" si="112"/>
        <v>-118.1098453691249</v>
      </c>
      <c r="W232" s="334">
        <f t="shared" si="113"/>
        <v>61.890154630875102</v>
      </c>
      <c r="Y232" s="307">
        <f t="shared" si="114"/>
        <v>1000000000</v>
      </c>
      <c r="Z232" s="307">
        <f t="shared" si="115"/>
        <v>186240609</v>
      </c>
      <c r="AB232" s="333">
        <f t="shared" si="116"/>
        <v>35.04182807757423</v>
      </c>
      <c r="AC232" s="334">
        <f t="shared" si="117"/>
        <v>-24.465732341808231</v>
      </c>
      <c r="AE232" s="333">
        <f t="shared" si="118"/>
        <v>-0.59041003644885137</v>
      </c>
      <c r="AF232" s="334">
        <f t="shared" si="119"/>
        <v>-90.600903786703952</v>
      </c>
      <c r="AH232">
        <f t="shared" si="120"/>
        <v>0</v>
      </c>
      <c r="AI232">
        <f t="shared" si="125"/>
        <v>0</v>
      </c>
    </row>
    <row r="233" spans="1:35" x14ac:dyDescent="0.25">
      <c r="A233" s="335">
        <v>13725.5</v>
      </c>
      <c r="B233" s="352">
        <f t="shared" si="121"/>
        <v>13.7255</v>
      </c>
      <c r="C233" s="325">
        <f t="shared" si="96"/>
        <v>29.251955776700637</v>
      </c>
      <c r="D233" s="326">
        <f t="shared" si="97"/>
        <v>1.5366039162871916</v>
      </c>
      <c r="E233" s="326">
        <f t="shared" si="98"/>
        <v>1.000594808175568</v>
      </c>
      <c r="F233" s="327">
        <f t="shared" si="99"/>
        <v>3.4482270647379853E-2</v>
      </c>
      <c r="G233" s="326">
        <f t="shared" si="100"/>
        <v>1</v>
      </c>
      <c r="H233" s="327">
        <f t="shared" si="101"/>
        <v>0</v>
      </c>
      <c r="I233" s="325">
        <f t="shared" si="102"/>
        <v>4529.0714203800162</v>
      </c>
      <c r="J233" s="328">
        <f t="shared" si="103"/>
        <v>1.5705755309815153</v>
      </c>
      <c r="K233" s="336">
        <f t="shared" si="123"/>
        <v>3.3559191506940231</v>
      </c>
      <c r="L233" s="337">
        <f t="shared" si="124"/>
        <v>1.268219502629099</v>
      </c>
      <c r="M233" s="325">
        <f t="shared" si="104"/>
        <v>1.0077021762754017</v>
      </c>
      <c r="N233" s="337">
        <f t="shared" si="105"/>
        <v>0.12371792728975206</v>
      </c>
      <c r="O233" s="343">
        <f t="shared" si="106"/>
        <v>1.0031756327006565</v>
      </c>
      <c r="P233" s="691">
        <f t="shared" si="107"/>
        <v>7.9589591556785869E-2</v>
      </c>
      <c r="Q233" s="336">
        <f t="shared" si="122"/>
        <v>4.193299659844504</v>
      </c>
      <c r="R233" s="692">
        <f t="shared" si="108"/>
        <v>0.13300224220632414</v>
      </c>
      <c r="S233" s="329">
        <f t="shared" si="109"/>
        <v>0.99858470081517703</v>
      </c>
      <c r="T233" s="330">
        <f t="shared" si="110"/>
        <v>7.9619492926077839E-2</v>
      </c>
      <c r="U233" s="331">
        <f t="shared" si="111"/>
        <v>9.9318757860215801</v>
      </c>
      <c r="V233" s="332">
        <f t="shared" si="112"/>
        <v>-118.09965053055728</v>
      </c>
      <c r="W233" s="334">
        <f t="shared" si="113"/>
        <v>61.900349469442716</v>
      </c>
      <c r="Y233" s="307">
        <f t="shared" si="114"/>
        <v>1000000000</v>
      </c>
      <c r="Z233" s="307">
        <f t="shared" si="115"/>
        <v>188389350.25</v>
      </c>
      <c r="AB233" s="333">
        <f t="shared" si="116"/>
        <v>35.036626874735454</v>
      </c>
      <c r="AC233" s="334">
        <f t="shared" si="117"/>
        <v>-24.412239446635535</v>
      </c>
      <c r="AE233" s="333">
        <f t="shared" si="118"/>
        <v>-0.63997277507658379</v>
      </c>
      <c r="AF233" s="334">
        <f t="shared" si="119"/>
        <v>-90.627091625599547</v>
      </c>
      <c r="AH233">
        <f t="shared" si="120"/>
        <v>0</v>
      </c>
      <c r="AI233">
        <f t="shared" si="125"/>
        <v>0</v>
      </c>
    </row>
    <row r="234" spans="1:35" x14ac:dyDescent="0.25">
      <c r="A234" s="335">
        <v>13804</v>
      </c>
      <c r="B234" s="352">
        <f t="shared" si="121"/>
        <v>13.804</v>
      </c>
      <c r="C234" s="325">
        <f t="shared" si="96"/>
        <v>29.41906098735188</v>
      </c>
      <c r="D234" s="326">
        <f t="shared" si="97"/>
        <v>1.5367982100046991</v>
      </c>
      <c r="E234" s="326">
        <f t="shared" si="98"/>
        <v>1.000601629331501</v>
      </c>
      <c r="F234" s="327">
        <f t="shared" si="99"/>
        <v>3.4679326831150083E-2</v>
      </c>
      <c r="G234" s="326">
        <f t="shared" si="100"/>
        <v>1</v>
      </c>
      <c r="H234" s="327">
        <f t="shared" si="101"/>
        <v>0</v>
      </c>
      <c r="I234" s="325">
        <f t="shared" si="102"/>
        <v>4554.9744540922047</v>
      </c>
      <c r="J234" s="328">
        <f t="shared" si="103"/>
        <v>1.5705767865937139</v>
      </c>
      <c r="K234" s="336">
        <f t="shared" si="123"/>
        <v>3.3734127781767689</v>
      </c>
      <c r="L234" s="337">
        <f t="shared" si="124"/>
        <v>1.2698378837123703</v>
      </c>
      <c r="M234" s="325">
        <f t="shared" si="104"/>
        <v>1.0077901885446086</v>
      </c>
      <c r="N234" s="337">
        <f t="shared" si="105"/>
        <v>0.12441824573889165</v>
      </c>
      <c r="O234" s="343">
        <f t="shared" si="106"/>
        <v>1.0032120029336631</v>
      </c>
      <c r="P234" s="691">
        <f t="shared" si="107"/>
        <v>8.0042850571454133E-2</v>
      </c>
      <c r="Q234" s="336">
        <f t="shared" si="122"/>
        <v>4.1937191790750985</v>
      </c>
      <c r="R234" s="692">
        <f t="shared" si="108"/>
        <v>0.13375401423485039</v>
      </c>
      <c r="S234" s="329">
        <f t="shared" si="109"/>
        <v>0.99856857569621804</v>
      </c>
      <c r="T234" s="330">
        <f t="shared" si="110"/>
        <v>8.0077128082370788E-2</v>
      </c>
      <c r="U234" s="331">
        <f t="shared" si="111"/>
        <v>9.8769090637627066</v>
      </c>
      <c r="V234" s="332">
        <f t="shared" si="112"/>
        <v>-118.09028717874011</v>
      </c>
      <c r="W234" s="334">
        <f t="shared" si="113"/>
        <v>61.909712821259888</v>
      </c>
      <c r="Y234" s="307">
        <f t="shared" si="114"/>
        <v>1000000000</v>
      </c>
      <c r="Z234" s="307">
        <f t="shared" si="115"/>
        <v>190550416</v>
      </c>
      <c r="AB234" s="333">
        <f t="shared" si="116"/>
        <v>35.031492682805151</v>
      </c>
      <c r="AC234" s="334">
        <f t="shared" si="117"/>
        <v>-24.359710273590796</v>
      </c>
      <c r="AE234" s="333">
        <f t="shared" si="118"/>
        <v>-0.68925126995955222</v>
      </c>
      <c r="AF234" s="334">
        <f t="shared" si="119"/>
        <v>-90.653153910983832</v>
      </c>
      <c r="AH234">
        <f t="shared" si="120"/>
        <v>0</v>
      </c>
      <c r="AI234">
        <f t="shared" si="125"/>
        <v>0</v>
      </c>
    </row>
    <row r="235" spans="1:35" x14ac:dyDescent="0.25">
      <c r="A235" s="335">
        <v>13884.25</v>
      </c>
      <c r="B235" s="352">
        <f t="shared" si="121"/>
        <v>13.88425</v>
      </c>
      <c r="C235" s="325">
        <f t="shared" si="96"/>
        <v>29.589892608272944</v>
      </c>
      <c r="D235" s="326">
        <f t="shared" si="97"/>
        <v>1.5369945666761442</v>
      </c>
      <c r="E235" s="326">
        <f t="shared" si="98"/>
        <v>1.0006086427142962</v>
      </c>
      <c r="F235" s="327">
        <f t="shared" si="99"/>
        <v>3.4880773201967787E-2</v>
      </c>
      <c r="G235" s="326">
        <f t="shared" si="100"/>
        <v>1</v>
      </c>
      <c r="H235" s="327">
        <f t="shared" si="101"/>
        <v>0</v>
      </c>
      <c r="I235" s="325">
        <f t="shared" si="102"/>
        <v>4581.4549439772882</v>
      </c>
      <c r="J235" s="328">
        <f t="shared" si="103"/>
        <v>1.5705780555207778</v>
      </c>
      <c r="K235" s="336">
        <f t="shared" si="123"/>
        <v>3.3913054288455022</v>
      </c>
      <c r="L235" s="337">
        <f t="shared" si="124"/>
        <v>1.2714750800579471</v>
      </c>
      <c r="M235" s="325">
        <f t="shared" si="104"/>
        <v>1.0078806736978356</v>
      </c>
      <c r="N235" s="337">
        <f t="shared" si="105"/>
        <v>0.12513404959280972</v>
      </c>
      <c r="O235" s="343">
        <f t="shared" si="106"/>
        <v>1.0032493969992318</v>
      </c>
      <c r="P235" s="691">
        <f t="shared" si="107"/>
        <v>8.0506180018181162E-2</v>
      </c>
      <c r="Q235" s="336">
        <f t="shared" si="122"/>
        <v>4.1941504800005465</v>
      </c>
      <c r="R235" s="692">
        <f t="shared" si="108"/>
        <v>0.13452239025792395</v>
      </c>
      <c r="S235" s="329">
        <f t="shared" si="109"/>
        <v>0.99855199865019373</v>
      </c>
      <c r="T235" s="330">
        <f t="shared" si="110"/>
        <v>8.0545005422698296E-2</v>
      </c>
      <c r="U235" s="331">
        <f t="shared" si="111"/>
        <v>9.8210720658351445</v>
      </c>
      <c r="V235" s="332">
        <f t="shared" si="112"/>
        <v>-118.08156164186539</v>
      </c>
      <c r="W235" s="334">
        <f t="shared" si="113"/>
        <v>61.918438358134608</v>
      </c>
      <c r="Y235" s="307">
        <f t="shared" si="114"/>
        <v>1000000000</v>
      </c>
      <c r="Z235" s="307">
        <f t="shared" si="115"/>
        <v>192772398.0625</v>
      </c>
      <c r="AB235" s="333">
        <f t="shared" si="116"/>
        <v>35.026311753132852</v>
      </c>
      <c r="AC235" s="334">
        <f t="shared" si="117"/>
        <v>-24.306991076648739</v>
      </c>
      <c r="AE235" s="333">
        <f t="shared" si="118"/>
        <v>-0.73933784299744665</v>
      </c>
      <c r="AF235" s="334">
        <f t="shared" si="119"/>
        <v>-90.679669689651661</v>
      </c>
      <c r="AH235">
        <f t="shared" si="120"/>
        <v>0</v>
      </c>
      <c r="AI235">
        <f t="shared" si="125"/>
        <v>0</v>
      </c>
    </row>
    <row r="236" spans="1:35" x14ac:dyDescent="0.25">
      <c r="A236" s="335">
        <v>13964.5</v>
      </c>
      <c r="B236" s="352">
        <f t="shared" si="121"/>
        <v>13.964499999999999</v>
      </c>
      <c r="C236" s="325">
        <f t="shared" si="96"/>
        <v>29.760725356962642</v>
      </c>
      <c r="D236" s="326">
        <f t="shared" si="97"/>
        <v>1.5371886690987961</v>
      </c>
      <c r="E236" s="326">
        <f t="shared" si="98"/>
        <v>1.0006156967018607</v>
      </c>
      <c r="F236" s="327">
        <f t="shared" si="99"/>
        <v>3.5082216740708445E-2</v>
      </c>
      <c r="G236" s="326">
        <f t="shared" si="100"/>
        <v>1</v>
      </c>
      <c r="H236" s="327">
        <f t="shared" si="101"/>
        <v>0</v>
      </c>
      <c r="I236" s="325">
        <f t="shared" si="102"/>
        <v>4607.9354338696658</v>
      </c>
      <c r="J236" s="328">
        <f t="shared" si="103"/>
        <v>1.5705793098635179</v>
      </c>
      <c r="K236" s="336">
        <f t="shared" si="123"/>
        <v>3.4092070741797715</v>
      </c>
      <c r="L236" s="337">
        <f t="shared" si="124"/>
        <v>1.2730950869688924</v>
      </c>
      <c r="M236" s="325">
        <f t="shared" si="104"/>
        <v>1.0079716751712107</v>
      </c>
      <c r="N236" s="337">
        <f t="shared" si="105"/>
        <v>0.12584972456527985</v>
      </c>
      <c r="O236" s="343">
        <f t="shared" si="106"/>
        <v>1.0032870064204571</v>
      </c>
      <c r="P236" s="691">
        <f t="shared" si="107"/>
        <v>8.0969474827435259E-2</v>
      </c>
      <c r="Q236" s="336">
        <f t="shared" si="122"/>
        <v>4.1945842363094989</v>
      </c>
      <c r="R236" s="692">
        <f t="shared" si="108"/>
        <v>0.13529060847363758</v>
      </c>
      <c r="S236" s="329">
        <f t="shared" si="109"/>
        <v>0.99853532818094937</v>
      </c>
      <c r="T236" s="330">
        <f t="shared" si="110"/>
        <v>8.1012923565862593E-2</v>
      </c>
      <c r="U236" s="331">
        <f t="shared" si="111"/>
        <v>9.7655892087871372</v>
      </c>
      <c r="V236" s="332">
        <f t="shared" si="112"/>
        <v>-118.07367905110496</v>
      </c>
      <c r="W236" s="334">
        <f t="shared" si="113"/>
        <v>61.926320948895039</v>
      </c>
      <c r="Y236" s="307">
        <f t="shared" si="114"/>
        <v>1000000000</v>
      </c>
      <c r="Z236" s="307">
        <f t="shared" si="115"/>
        <v>195007260.25</v>
      </c>
      <c r="AB236" s="333">
        <f t="shared" si="116"/>
        <v>35.021197751496473</v>
      </c>
      <c r="AC236" s="334">
        <f t="shared" si="117"/>
        <v>-24.255248541781175</v>
      </c>
      <c r="AE236" s="333">
        <f t="shared" si="118"/>
        <v>-0.78913406294344113</v>
      </c>
      <c r="AF236" s="334">
        <f t="shared" si="119"/>
        <v>-90.706058809473916</v>
      </c>
      <c r="AH236">
        <f t="shared" si="120"/>
        <v>0</v>
      </c>
      <c r="AI236">
        <f t="shared" si="125"/>
        <v>0</v>
      </c>
    </row>
    <row r="237" spans="1:35" x14ac:dyDescent="0.25">
      <c r="A237" s="335">
        <v>14044.75</v>
      </c>
      <c r="B237" s="352">
        <f t="shared" si="121"/>
        <v>14.044750000000001</v>
      </c>
      <c r="C237" s="325">
        <f t="shared" si="96"/>
        <v>29.931559214110944</v>
      </c>
      <c r="D237" s="326">
        <f t="shared" si="97"/>
        <v>1.5373805558561608</v>
      </c>
      <c r="E237" s="326">
        <f t="shared" si="98"/>
        <v>1.0006227912933356</v>
      </c>
      <c r="F237" s="327">
        <f t="shared" si="99"/>
        <v>3.5283657431083172E-2</v>
      </c>
      <c r="G237" s="326">
        <f t="shared" si="100"/>
        <v>1</v>
      </c>
      <c r="H237" s="327">
        <f t="shared" si="101"/>
        <v>0</v>
      </c>
      <c r="I237" s="325">
        <f t="shared" si="102"/>
        <v>4634.4159237692102</v>
      </c>
      <c r="J237" s="328">
        <f t="shared" si="103"/>
        <v>1.5705805498719341</v>
      </c>
      <c r="K237" s="336">
        <f t="shared" si="123"/>
        <v>3.4271175732279131</v>
      </c>
      <c r="L237" s="337">
        <f t="shared" si="124"/>
        <v>1.2746981653764773</v>
      </c>
      <c r="M237" s="325">
        <f t="shared" si="104"/>
        <v>1.0080631928249038</v>
      </c>
      <c r="N237" s="337">
        <f t="shared" si="105"/>
        <v>0.12656526995818151</v>
      </c>
      <c r="O237" s="343">
        <f t="shared" si="106"/>
        <v>1.0033248311731209</v>
      </c>
      <c r="P237" s="691">
        <f t="shared" si="107"/>
        <v>8.1432734804237669E-2</v>
      </c>
      <c r="Q237" s="336">
        <f t="shared" si="122"/>
        <v>4.195020447240366</v>
      </c>
      <c r="R237" s="692">
        <f t="shared" si="108"/>
        <v>0.13605866803551628</v>
      </c>
      <c r="S237" s="329">
        <f t="shared" si="109"/>
        <v>0.9985185643348945</v>
      </c>
      <c r="T237" s="330">
        <f t="shared" si="110"/>
        <v>8.1480882747664615E-2</v>
      </c>
      <c r="U237" s="331">
        <f t="shared" si="111"/>
        <v>9.7104556837220706</v>
      </c>
      <c r="V237" s="332">
        <f t="shared" si="112"/>
        <v>-118.06662661831054</v>
      </c>
      <c r="W237" s="334">
        <f t="shared" si="113"/>
        <v>61.933373381689464</v>
      </c>
      <c r="Y237" s="307">
        <f t="shared" si="114"/>
        <v>1000000000</v>
      </c>
      <c r="Z237" s="307">
        <f t="shared" si="115"/>
        <v>197255002.5625</v>
      </c>
      <c r="AB237" s="333">
        <f t="shared" si="116"/>
        <v>35.016149169668694</v>
      </c>
      <c r="AC237" s="334">
        <f t="shared" si="117"/>
        <v>-24.204467693052091</v>
      </c>
      <c r="AE237" s="333">
        <f t="shared" si="118"/>
        <v>-0.83864323318359468</v>
      </c>
      <c r="AF237" s="334">
        <f t="shared" si="119"/>
        <v>-90.732323495566362</v>
      </c>
      <c r="AH237">
        <f t="shared" si="120"/>
        <v>0</v>
      </c>
      <c r="AI237">
        <f t="shared" si="125"/>
        <v>0</v>
      </c>
    </row>
    <row r="238" spans="1:35" x14ac:dyDescent="0.25">
      <c r="A238" s="335">
        <v>14125</v>
      </c>
      <c r="B238" s="352">
        <f t="shared" si="121"/>
        <v>14.125</v>
      </c>
      <c r="C238" s="325">
        <f t="shared" si="96"/>
        <v>30.102394160846032</v>
      </c>
      <c r="D238" s="326">
        <f t="shared" si="97"/>
        <v>1.5375702646565395</v>
      </c>
      <c r="E238" s="326">
        <f t="shared" si="98"/>
        <v>1.0006299264878573</v>
      </c>
      <c r="F238" s="327">
        <f t="shared" si="99"/>
        <v>3.5485095256804468E-2</v>
      </c>
      <c r="G238" s="326">
        <f t="shared" si="100"/>
        <v>1</v>
      </c>
      <c r="H238" s="327">
        <f t="shared" si="101"/>
        <v>0</v>
      </c>
      <c r="I238" s="325">
        <f t="shared" si="102"/>
        <v>4660.8964136757995</v>
      </c>
      <c r="J238" s="328">
        <f t="shared" si="103"/>
        <v>1.5705817757903435</v>
      </c>
      <c r="K238" s="336">
        <f t="shared" si="123"/>
        <v>3.4450367879004595</v>
      </c>
      <c r="L238" s="337">
        <f t="shared" si="124"/>
        <v>1.2762845711351503</v>
      </c>
      <c r="M238" s="325">
        <f t="shared" si="104"/>
        <v>1.0081552265183422</v>
      </c>
      <c r="N238" s="337">
        <f t="shared" si="105"/>
        <v>0.12728068507417764</v>
      </c>
      <c r="O238" s="343">
        <f t="shared" si="106"/>
        <v>1.0033628712328708</v>
      </c>
      <c r="P238" s="691">
        <f t="shared" si="107"/>
        <v>8.1895959753698774E-2</v>
      </c>
      <c r="Q238" s="336">
        <f t="shared" si="122"/>
        <v>4.1954591120275611</v>
      </c>
      <c r="R238" s="692">
        <f t="shared" si="108"/>
        <v>0.13682656809817853</v>
      </c>
      <c r="S238" s="329">
        <f t="shared" si="109"/>
        <v>0.99850170715870945</v>
      </c>
      <c r="T238" s="330">
        <f t="shared" si="110"/>
        <v>8.1948883203903894E-2</v>
      </c>
      <c r="U238" s="331">
        <f t="shared" si="111"/>
        <v>9.6556667772073883</v>
      </c>
      <c r="V238" s="332">
        <f t="shared" si="112"/>
        <v>-118.06039179584533</v>
      </c>
      <c r="W238" s="334">
        <f t="shared" si="113"/>
        <v>61.939608204154666</v>
      </c>
      <c r="Y238" s="307">
        <f t="shared" si="114"/>
        <v>1000000000</v>
      </c>
      <c r="Z238" s="307">
        <f t="shared" si="115"/>
        <v>199515625</v>
      </c>
      <c r="AB238" s="333">
        <f t="shared" si="116"/>
        <v>35.011164538670045</v>
      </c>
      <c r="AC238" s="334">
        <f t="shared" si="117"/>
        <v>-24.154633845125261</v>
      </c>
      <c r="AE238" s="333">
        <f t="shared" si="118"/>
        <v>-0.88786860090131259</v>
      </c>
      <c r="AF238" s="334">
        <f t="shared" si="119"/>
        <v>-90.758465922899006</v>
      </c>
      <c r="AH238">
        <f t="shared" si="120"/>
        <v>0</v>
      </c>
      <c r="AI238">
        <f t="shared" si="125"/>
        <v>0</v>
      </c>
    </row>
    <row r="239" spans="1:35" x14ac:dyDescent="0.25">
      <c r="A239" s="335">
        <v>14207.25</v>
      </c>
      <c r="B239" s="352">
        <f t="shared" si="121"/>
        <v>14.20725</v>
      </c>
      <c r="C239" s="325">
        <f t="shared" si="96"/>
        <v>30.277487787706946</v>
      </c>
      <c r="D239" s="326">
        <f t="shared" si="97"/>
        <v>1.5377624799091667</v>
      </c>
      <c r="E239" s="326">
        <f t="shared" si="98"/>
        <v>1.0006372816391602</v>
      </c>
      <c r="F239" s="327">
        <f t="shared" si="99"/>
        <v>3.5691550350191316E-2</v>
      </c>
      <c r="G239" s="326">
        <f t="shared" si="100"/>
        <v>1</v>
      </c>
      <c r="H239" s="327">
        <f t="shared" si="101"/>
        <v>0</v>
      </c>
      <c r="I239" s="325">
        <f t="shared" si="102"/>
        <v>4688.0368534937888</v>
      </c>
      <c r="J239" s="328">
        <f t="shared" si="103"/>
        <v>1.5705830178899467</v>
      </c>
      <c r="K239" s="336">
        <f t="shared" si="123"/>
        <v>3.4634114899650252</v>
      </c>
      <c r="L239" s="337">
        <f t="shared" si="124"/>
        <v>1.2778934748667325</v>
      </c>
      <c r="M239" s="325">
        <f t="shared" si="104"/>
        <v>1.0082500892297304</v>
      </c>
      <c r="N239" s="337">
        <f t="shared" si="105"/>
        <v>0.12801379393405229</v>
      </c>
      <c r="O239" s="343">
        <f t="shared" si="106"/>
        <v>1.0034020827286843</v>
      </c>
      <c r="P239" s="691">
        <f t="shared" si="107"/>
        <v>8.2370692698712916E-2</v>
      </c>
      <c r="Q239" s="336">
        <f t="shared" si="122"/>
        <v>4.1959112548166093</v>
      </c>
      <c r="R239" s="692">
        <f t="shared" si="108"/>
        <v>0.13761343946239135</v>
      </c>
      <c r="S239" s="329">
        <f t="shared" si="109"/>
        <v>0.99848433306702078</v>
      </c>
      <c r="T239" s="330">
        <f t="shared" si="110"/>
        <v>8.2428590299859314E-2</v>
      </c>
      <c r="U239" s="331">
        <f t="shared" si="111"/>
        <v>9.599865189755894</v>
      </c>
      <c r="V239" s="332">
        <f t="shared" si="112"/>
        <v>-118.05483713630419</v>
      </c>
      <c r="W239" s="334">
        <f t="shared" si="113"/>
        <v>61.945162863695813</v>
      </c>
      <c r="Y239" s="307">
        <f t="shared" si="114"/>
        <v>1000000000</v>
      </c>
      <c r="Z239" s="307">
        <f t="shared" si="115"/>
        <v>201845952.5625</v>
      </c>
      <c r="AB239" s="333">
        <f t="shared" si="116"/>
        <v>35.006120544520428</v>
      </c>
      <c r="AC239" s="334">
        <f t="shared" si="117"/>
        <v>-24.104525662264944</v>
      </c>
      <c r="AE239" s="333">
        <f t="shared" si="118"/>
        <v>-0.93802960870371987</v>
      </c>
      <c r="AF239" s="334">
        <f t="shared" si="119"/>
        <v>-90.785135232153735</v>
      </c>
      <c r="AH239">
        <f t="shared" si="120"/>
        <v>0</v>
      </c>
      <c r="AI239">
        <f t="shared" si="125"/>
        <v>0</v>
      </c>
    </row>
    <row r="240" spans="1:35" x14ac:dyDescent="0.25">
      <c r="A240" s="335">
        <v>14289.5</v>
      </c>
      <c r="B240" s="352">
        <f t="shared" si="121"/>
        <v>14.2895</v>
      </c>
      <c r="C240" s="325">
        <f t="shared" si="96"/>
        <v>30.452582520357321</v>
      </c>
      <c r="D240" s="326">
        <f t="shared" si="97"/>
        <v>1.5379524847894961</v>
      </c>
      <c r="E240" s="326">
        <f t="shared" si="98"/>
        <v>1.000644679440704</v>
      </c>
      <c r="F240" s="327">
        <f t="shared" si="99"/>
        <v>3.5898002399718174E-2</v>
      </c>
      <c r="G240" s="326">
        <f t="shared" si="100"/>
        <v>1</v>
      </c>
      <c r="H240" s="327">
        <f t="shared" si="101"/>
        <v>0</v>
      </c>
      <c r="I240" s="325">
        <f t="shared" si="102"/>
        <v>4715.1772933189277</v>
      </c>
      <c r="J240" s="328">
        <f t="shared" si="103"/>
        <v>1.570584245690563</v>
      </c>
      <c r="K240" s="336">
        <f t="shared" si="123"/>
        <v>3.4817950626772536</v>
      </c>
      <c r="L240" s="337">
        <f t="shared" si="124"/>
        <v>1.2794853929416019</v>
      </c>
      <c r="M240" s="325">
        <f t="shared" si="104"/>
        <v>1.0083454937215899</v>
      </c>
      <c r="N240" s="337">
        <f t="shared" si="105"/>
        <v>0.12874676446177957</v>
      </c>
      <c r="O240" s="343">
        <f t="shared" si="106"/>
        <v>1.0034415203448956</v>
      </c>
      <c r="P240" s="691">
        <f t="shared" si="107"/>
        <v>8.2845388434456116E-2</v>
      </c>
      <c r="Q240" s="336">
        <f t="shared" si="122"/>
        <v>4.196365973655384</v>
      </c>
      <c r="R240" s="692">
        <f t="shared" si="108"/>
        <v>0.13840014148352983</v>
      </c>
      <c r="S240" s="329">
        <f t="shared" si="109"/>
        <v>0.99846686103543358</v>
      </c>
      <c r="T240" s="330">
        <f t="shared" si="110"/>
        <v>8.2908341254747955E-2</v>
      </c>
      <c r="U240" s="331">
        <f t="shared" si="111"/>
        <v>9.5444158831130537</v>
      </c>
      <c r="V240" s="332">
        <f t="shared" si="112"/>
        <v>-118.05011540970506</v>
      </c>
      <c r="W240" s="334">
        <f t="shared" si="113"/>
        <v>61.949884590294943</v>
      </c>
      <c r="Y240" s="307">
        <f t="shared" si="114"/>
        <v>1000000000</v>
      </c>
      <c r="Z240" s="307">
        <f t="shared" si="115"/>
        <v>204189810.25</v>
      </c>
      <c r="AB240" s="333">
        <f t="shared" si="116"/>
        <v>35.001140725112855</v>
      </c>
      <c r="AC240" s="334">
        <f t="shared" si="117"/>
        <v>-24.05538194072783</v>
      </c>
      <c r="AE240" s="333">
        <f t="shared" si="118"/>
        <v>-0.98789922329081847</v>
      </c>
      <c r="AF240" s="334">
        <f t="shared" si="119"/>
        <v>-90.811680583736603</v>
      </c>
      <c r="AH240">
        <f t="shared" si="120"/>
        <v>0</v>
      </c>
      <c r="AI240">
        <f t="shared" si="125"/>
        <v>0</v>
      </c>
    </row>
    <row r="241" spans="1:35" x14ac:dyDescent="0.25">
      <c r="A241" s="335">
        <v>14371.75</v>
      </c>
      <c r="B241" s="352">
        <f t="shared" si="121"/>
        <v>14.37175</v>
      </c>
      <c r="C241" s="325">
        <f t="shared" si="96"/>
        <v>30.627678339832165</v>
      </c>
      <c r="D241" s="326">
        <f t="shared" si="97"/>
        <v>1.5381403171932178</v>
      </c>
      <c r="E241" s="326">
        <f t="shared" si="98"/>
        <v>1.0006521198915423</v>
      </c>
      <c r="F241" s="327">
        <f t="shared" si="99"/>
        <v>3.6104451387853773E-2</v>
      </c>
      <c r="G241" s="326">
        <f t="shared" si="100"/>
        <v>1</v>
      </c>
      <c r="H241" s="327">
        <f t="shared" si="101"/>
        <v>0</v>
      </c>
      <c r="I241" s="325">
        <f t="shared" si="102"/>
        <v>4742.3177331510933</v>
      </c>
      <c r="J241" s="328">
        <f t="shared" si="103"/>
        <v>1.5705854594376927</v>
      </c>
      <c r="K241" s="336">
        <f t="shared" si="123"/>
        <v>3.5001873662667466</v>
      </c>
      <c r="L241" s="337">
        <f t="shared" si="124"/>
        <v>1.2810605849887604</v>
      </c>
      <c r="M241" s="325">
        <f t="shared" si="104"/>
        <v>1.008441439840154</v>
      </c>
      <c r="N241" s="337">
        <f t="shared" si="105"/>
        <v>0.12947959590916217</v>
      </c>
      <c r="O241" s="343">
        <f t="shared" si="106"/>
        <v>1.0034811840548445</v>
      </c>
      <c r="P241" s="691">
        <f t="shared" si="107"/>
        <v>8.3320046751396024E-2</v>
      </c>
      <c r="Q241" s="336">
        <f t="shared" si="122"/>
        <v>4.1968232677066135</v>
      </c>
      <c r="R241" s="692">
        <f t="shared" si="108"/>
        <v>0.13918667325502823</v>
      </c>
      <c r="S241" s="329">
        <f t="shared" si="109"/>
        <v>0.99844929111509351</v>
      </c>
      <c r="T241" s="330">
        <f t="shared" si="110"/>
        <v>8.3388136322437578E-2</v>
      </c>
      <c r="U241" s="331">
        <f t="shared" si="111"/>
        <v>9.4893140788175927</v>
      </c>
      <c r="V241" s="332">
        <f t="shared" si="112"/>
        <v>-118.0462138584756</v>
      </c>
      <c r="W241" s="334">
        <f t="shared" si="113"/>
        <v>61.953786141524404</v>
      </c>
      <c r="Y241" s="307">
        <f t="shared" si="114"/>
        <v>1000000000</v>
      </c>
      <c r="Z241" s="307">
        <f t="shared" si="115"/>
        <v>206547198.0625</v>
      </c>
      <c r="AB241" s="333">
        <f t="shared" si="116"/>
        <v>34.996223619485377</v>
      </c>
      <c r="AC241" s="334">
        <f t="shared" si="117"/>
        <v>-24.007187776065425</v>
      </c>
      <c r="AE241" s="333">
        <f t="shared" si="118"/>
        <v>-1.0374807651457432</v>
      </c>
      <c r="AF241" s="334">
        <f t="shared" si="119"/>
        <v>-90.838104164460745</v>
      </c>
      <c r="AH241">
        <f t="shared" si="120"/>
        <v>0</v>
      </c>
      <c r="AI241">
        <f t="shared" si="125"/>
        <v>0</v>
      </c>
    </row>
    <row r="242" spans="1:35" x14ac:dyDescent="0.25">
      <c r="A242" s="335">
        <v>14454</v>
      </c>
      <c r="B242" s="352">
        <f t="shared" si="121"/>
        <v>14.454000000000001</v>
      </c>
      <c r="C242" s="325">
        <f t="shared" si="96"/>
        <v>30.802775227597586</v>
      </c>
      <c r="D242" s="326">
        <f t="shared" si="97"/>
        <v>1.538326014154979</v>
      </c>
      <c r="E242" s="326">
        <f t="shared" si="98"/>
        <v>1.0006596029907244</v>
      </c>
      <c r="F242" s="327">
        <f t="shared" si="99"/>
        <v>3.6310897297068392E-2</v>
      </c>
      <c r="G242" s="326">
        <f t="shared" si="100"/>
        <v>1</v>
      </c>
      <c r="H242" s="327">
        <f t="shared" si="101"/>
        <v>0</v>
      </c>
      <c r="I242" s="325">
        <f t="shared" si="102"/>
        <v>4769.4581729901656</v>
      </c>
      <c r="J242" s="328">
        <f t="shared" si="103"/>
        <v>1.5705866593712488</v>
      </c>
      <c r="K242" s="336">
        <f t="shared" si="123"/>
        <v>3.5185882638198369</v>
      </c>
      <c r="L242" s="337">
        <f t="shared" si="124"/>
        <v>1.2826193055420498</v>
      </c>
      <c r="M242" s="325">
        <f t="shared" si="104"/>
        <v>1.0085379274308417</v>
      </c>
      <c r="N242" s="337">
        <f t="shared" si="105"/>
        <v>0.13021228752888428</v>
      </c>
      <c r="O242" s="343">
        <f t="shared" si="106"/>
        <v>1.0035210738317224</v>
      </c>
      <c r="P242" s="691">
        <f t="shared" si="107"/>
        <v>8.3794667440100737E-2</v>
      </c>
      <c r="Q242" s="336">
        <f t="shared" si="122"/>
        <v>4.1972831361286467</v>
      </c>
      <c r="R242" s="692">
        <f t="shared" si="108"/>
        <v>0.1399730338715505</v>
      </c>
      <c r="S242" s="329">
        <f t="shared" si="109"/>
        <v>0.99843162335744706</v>
      </c>
      <c r="T242" s="330">
        <f t="shared" si="110"/>
        <v>8.3867975756794264E-2</v>
      </c>
      <c r="U242" s="331">
        <f t="shared" si="111"/>
        <v>9.4345550932446791</v>
      </c>
      <c r="V242" s="332">
        <f t="shared" si="112"/>
        <v>-118.04311996743523</v>
      </c>
      <c r="W242" s="334">
        <f t="shared" si="113"/>
        <v>61.956880032564769</v>
      </c>
      <c r="Y242" s="307">
        <f t="shared" si="114"/>
        <v>1000000000</v>
      </c>
      <c r="Z242" s="307">
        <f t="shared" si="115"/>
        <v>208918116</v>
      </c>
      <c r="AB242" s="333">
        <f t="shared" si="116"/>
        <v>34.991367804903291</v>
      </c>
      <c r="AC242" s="334">
        <f t="shared" si="117"/>
        <v>-23.959928555490784</v>
      </c>
      <c r="AE242" s="333">
        <f t="shared" si="118"/>
        <v>-1.0867774981572118</v>
      </c>
      <c r="AF242" s="334">
        <f t="shared" si="119"/>
        <v>-90.864408111804948</v>
      </c>
      <c r="AH242">
        <f t="shared" si="120"/>
        <v>0</v>
      </c>
      <c r="AI242">
        <f t="shared" si="125"/>
        <v>0</v>
      </c>
    </row>
    <row r="243" spans="1:35" x14ac:dyDescent="0.25">
      <c r="A243" s="335">
        <v>14622.5</v>
      </c>
      <c r="B243" s="352">
        <f t="shared" si="121"/>
        <v>14.6225</v>
      </c>
      <c r="C243" s="325">
        <f t="shared" si="96"/>
        <v>31.161487613419407</v>
      </c>
      <c r="D243" s="326">
        <f t="shared" si="97"/>
        <v>1.5386999221052935</v>
      </c>
      <c r="E243" s="326">
        <f t="shared" si="98"/>
        <v>1.0006750662854407</v>
      </c>
      <c r="F243" s="327">
        <f t="shared" si="99"/>
        <v>3.6733819349526187E-2</v>
      </c>
      <c r="G243" s="326">
        <f t="shared" si="100"/>
        <v>1</v>
      </c>
      <c r="H243" s="327">
        <f t="shared" si="101"/>
        <v>0</v>
      </c>
      <c r="I243" s="325">
        <f t="shared" si="102"/>
        <v>4825.0589524991892</v>
      </c>
      <c r="J243" s="328">
        <f t="shared" si="103"/>
        <v>1.5705890754396274</v>
      </c>
      <c r="K243" s="336">
        <f t="shared" si="123"/>
        <v>3.5563112100601972</v>
      </c>
      <c r="L243" s="337">
        <f t="shared" si="124"/>
        <v>1.2857621604639613</v>
      </c>
      <c r="M243" s="325">
        <f t="shared" si="104"/>
        <v>1.0087372852512306</v>
      </c>
      <c r="N243" s="337">
        <f t="shared" si="105"/>
        <v>0.1317128633941648</v>
      </c>
      <c r="O243" s="343">
        <f t="shared" si="106"/>
        <v>1.003603499153529</v>
      </c>
      <c r="P243" s="691">
        <f t="shared" si="107"/>
        <v>8.4766872288575087E-2</v>
      </c>
      <c r="Q243" s="336">
        <f t="shared" si="122"/>
        <v>4.1982332729743872</v>
      </c>
      <c r="R243" s="692">
        <f t="shared" si="108"/>
        <v>0.14158345928095939</v>
      </c>
      <c r="S243" s="329">
        <f t="shared" si="109"/>
        <v>0.99839512331557068</v>
      </c>
      <c r="T243" s="330">
        <f t="shared" si="110"/>
        <v>8.4851129898340608E-2</v>
      </c>
      <c r="U243" s="331">
        <f t="shared" si="111"/>
        <v>9.3234253633025901</v>
      </c>
      <c r="V243" s="332">
        <f t="shared" si="112"/>
        <v>-118.03925236549624</v>
      </c>
      <c r="W243" s="334">
        <f t="shared" si="113"/>
        <v>61.960747634503761</v>
      </c>
      <c r="Y243" s="307">
        <f t="shared" si="114"/>
        <v>1000000000</v>
      </c>
      <c r="Z243" s="307">
        <f t="shared" si="115"/>
        <v>213817506.25</v>
      </c>
      <c r="AB243" s="333">
        <f t="shared" si="116"/>
        <v>34.981605624096218</v>
      </c>
      <c r="AC243" s="334">
        <f t="shared" si="117"/>
        <v>-23.865971327176862</v>
      </c>
      <c r="AE243" s="333">
        <f t="shared" si="118"/>
        <v>-1.1868924453197012</v>
      </c>
      <c r="AF243" s="334">
        <f t="shared" si="119"/>
        <v>-90.917930393598098</v>
      </c>
      <c r="AH243">
        <f t="shared" si="120"/>
        <v>0</v>
      </c>
      <c r="AI243">
        <f t="shared" si="125"/>
        <v>0</v>
      </c>
    </row>
    <row r="244" spans="1:35" x14ac:dyDescent="0.25">
      <c r="A244" s="335">
        <v>14706.75</v>
      </c>
      <c r="B244" s="352">
        <f t="shared" si="121"/>
        <v>14.70675</v>
      </c>
      <c r="C244" s="325">
        <f t="shared" si="96"/>
        <v>31.340845412006605</v>
      </c>
      <c r="D244" s="326">
        <f t="shared" si="97"/>
        <v>1.5388836663884227</v>
      </c>
      <c r="E244" s="326">
        <f t="shared" si="98"/>
        <v>1.0006828650501673</v>
      </c>
      <c r="F244" s="327">
        <f t="shared" si="99"/>
        <v>3.6945275455365072E-2</v>
      </c>
      <c r="G244" s="326">
        <f t="shared" si="100"/>
        <v>1</v>
      </c>
      <c r="H244" s="327">
        <f t="shared" si="101"/>
        <v>0</v>
      </c>
      <c r="I244" s="325">
        <f t="shared" si="102"/>
        <v>4852.8593422640824</v>
      </c>
      <c r="J244" s="328">
        <f t="shared" si="103"/>
        <v>1.570590262712559</v>
      </c>
      <c r="K244" s="336">
        <f t="shared" si="123"/>
        <v>3.5751856475073498</v>
      </c>
      <c r="L244" s="337">
        <f t="shared" si="124"/>
        <v>1.2873087093339668</v>
      </c>
      <c r="M244" s="325">
        <f t="shared" si="104"/>
        <v>1.0088378156841435</v>
      </c>
      <c r="N244" s="337">
        <f t="shared" si="105"/>
        <v>0.13246292808421853</v>
      </c>
      <c r="O244" s="343">
        <f t="shared" si="106"/>
        <v>1.0036450674911068</v>
      </c>
      <c r="P244" s="691">
        <f t="shared" si="107"/>
        <v>8.5252914600667792E-2</v>
      </c>
      <c r="Q244" s="336">
        <f t="shared" si="122"/>
        <v>4.1987123894114529</v>
      </c>
      <c r="R244" s="692">
        <f t="shared" si="108"/>
        <v>0.14238839876860582</v>
      </c>
      <c r="S244" s="329">
        <f t="shared" si="109"/>
        <v>0.99837671953645091</v>
      </c>
      <c r="T244" s="330">
        <f t="shared" si="110"/>
        <v>8.5342777876565273E-2</v>
      </c>
      <c r="U244" s="331">
        <f t="shared" si="111"/>
        <v>9.2683808184980734</v>
      </c>
      <c r="V244" s="332">
        <f t="shared" si="112"/>
        <v>-118.03853825519577</v>
      </c>
      <c r="W244" s="334">
        <f t="shared" si="113"/>
        <v>61.961461744804225</v>
      </c>
      <c r="Y244" s="307">
        <f t="shared" si="114"/>
        <v>1000000000</v>
      </c>
      <c r="Z244" s="307">
        <f t="shared" si="115"/>
        <v>216288495.5625</v>
      </c>
      <c r="AB244" s="333">
        <f t="shared" si="116"/>
        <v>34.976815227938587</v>
      </c>
      <c r="AC244" s="334">
        <f t="shared" si="117"/>
        <v>-23.820404170892715</v>
      </c>
      <c r="AE244" s="333">
        <f t="shared" si="118"/>
        <v>-1.2365151418607501</v>
      </c>
      <c r="AF244" s="334">
        <f t="shared" si="119"/>
        <v>-90.944511977303009</v>
      </c>
      <c r="AH244">
        <f t="shared" si="120"/>
        <v>0</v>
      </c>
      <c r="AI244">
        <f t="shared" si="125"/>
        <v>0</v>
      </c>
    </row>
    <row r="245" spans="1:35" x14ac:dyDescent="0.25">
      <c r="A245" s="335">
        <v>14791</v>
      </c>
      <c r="B245" s="352">
        <f t="shared" si="121"/>
        <v>14.791</v>
      </c>
      <c r="C245" s="325">
        <f t="shared" si="96"/>
        <v>31.520204256680177</v>
      </c>
      <c r="D245" s="326">
        <f t="shared" si="97"/>
        <v>1.539065319564126</v>
      </c>
      <c r="E245" s="326">
        <f t="shared" si="98"/>
        <v>1.0006907085584134</v>
      </c>
      <c r="F245" s="327">
        <f t="shared" si="99"/>
        <v>3.7156728255832827E-2</v>
      </c>
      <c r="G245" s="326">
        <f t="shared" si="100"/>
        <v>1</v>
      </c>
      <c r="H245" s="327">
        <f t="shared" si="101"/>
        <v>0</v>
      </c>
      <c r="I245" s="325">
        <f t="shared" si="102"/>
        <v>4880.6597320357369</v>
      </c>
      <c r="J245" s="328">
        <f t="shared" si="103"/>
        <v>1.5705914364600033</v>
      </c>
      <c r="K245" s="336">
        <f t="shared" si="123"/>
        <v>3.5940685463057105</v>
      </c>
      <c r="L245" s="337">
        <f t="shared" si="124"/>
        <v>1.2888390109869878</v>
      </c>
      <c r="M245" s="325">
        <f t="shared" si="104"/>
        <v>1.0089389135729336</v>
      </c>
      <c r="N245" s="337">
        <f t="shared" si="105"/>
        <v>0.13321284287985249</v>
      </c>
      <c r="O245" s="343">
        <f t="shared" si="106"/>
        <v>1.0036868729072423</v>
      </c>
      <c r="P245" s="691">
        <f t="shared" si="107"/>
        <v>8.5738916538440249E-2</v>
      </c>
      <c r="Q245" s="336">
        <f t="shared" si="122"/>
        <v>4.1991942032948231</v>
      </c>
      <c r="R245" s="692">
        <f t="shared" si="108"/>
        <v>0.14319315482099593</v>
      </c>
      <c r="S245" s="329">
        <f t="shared" si="109"/>
        <v>0.99835821332723307</v>
      </c>
      <c r="T245" s="330">
        <f t="shared" si="110"/>
        <v>8.583447349020025E-2</v>
      </c>
      <c r="U245" s="331">
        <f t="shared" si="111"/>
        <v>9.2136769277850288</v>
      </c>
      <c r="V245" s="332">
        <f t="shared" si="112"/>
        <v>-118.03862058886118</v>
      </c>
      <c r="W245" s="334">
        <f t="shared" si="113"/>
        <v>61.961379411138822</v>
      </c>
      <c r="Y245" s="307">
        <f t="shared" si="114"/>
        <v>1000000000</v>
      </c>
      <c r="Z245" s="307">
        <f t="shared" si="115"/>
        <v>218773681</v>
      </c>
      <c r="AB245" s="333">
        <f t="shared" si="116"/>
        <v>34.972083449227881</v>
      </c>
      <c r="AC245" s="334">
        <f t="shared" si="117"/>
        <v>-23.775758548300722</v>
      </c>
      <c r="AE245" s="333">
        <f t="shared" si="118"/>
        <v>-1.2858523720548163</v>
      </c>
      <c r="AF245" s="334">
        <f t="shared" si="119"/>
        <v>-90.97097666806954</v>
      </c>
      <c r="AH245">
        <f t="shared" si="120"/>
        <v>0</v>
      </c>
      <c r="AI245">
        <f t="shared" si="125"/>
        <v>0</v>
      </c>
    </row>
    <row r="246" spans="1:35" x14ac:dyDescent="0.25">
      <c r="A246" s="335">
        <v>14877.25</v>
      </c>
      <c r="B246" s="352">
        <f t="shared" si="121"/>
        <v>14.87725</v>
      </c>
      <c r="C246" s="325">
        <f t="shared" si="96"/>
        <v>31.703821943175512</v>
      </c>
      <c r="D246" s="326">
        <f t="shared" si="97"/>
        <v>1.5392491558664381</v>
      </c>
      <c r="E246" s="326">
        <f t="shared" si="98"/>
        <v>1.0006987846109703</v>
      </c>
      <c r="F246" s="327">
        <f t="shared" si="99"/>
        <v>3.7373197263687784E-2</v>
      </c>
      <c r="G246" s="326">
        <f t="shared" si="100"/>
        <v>1</v>
      </c>
      <c r="H246" s="327">
        <f t="shared" si="101"/>
        <v>0</v>
      </c>
      <c r="I246" s="325">
        <f t="shared" si="102"/>
        <v>4909.1200717198371</v>
      </c>
      <c r="J246" s="328">
        <f t="shared" si="103"/>
        <v>1.570592624299886</v>
      </c>
      <c r="K246" s="336">
        <f t="shared" si="123"/>
        <v>3.6134083303587832</v>
      </c>
      <c r="L246" s="337">
        <f t="shared" si="124"/>
        <v>1.290389068465319</v>
      </c>
      <c r="M246" s="325">
        <f t="shared" si="104"/>
        <v>1.0090429990554284</v>
      </c>
      <c r="N246" s="337">
        <f t="shared" si="105"/>
        <v>0.13398040369952374</v>
      </c>
      <c r="O246" s="343">
        <f t="shared" si="106"/>
        <v>1.0037299162932123</v>
      </c>
      <c r="P246" s="691">
        <f t="shared" si="107"/>
        <v>8.62364135564197E-2</v>
      </c>
      <c r="Q246" s="336">
        <f t="shared" si="122"/>
        <v>4.1996902481850489</v>
      </c>
      <c r="R246" s="692">
        <f t="shared" si="108"/>
        <v>0.14401682384709744</v>
      </c>
      <c r="S246" s="329">
        <f t="shared" si="109"/>
        <v>0.99833916175459592</v>
      </c>
      <c r="T246" s="330">
        <f t="shared" si="110"/>
        <v>8.6337891033175296E-2</v>
      </c>
      <c r="U246" s="331">
        <f t="shared" si="111"/>
        <v>9.158022553876398</v>
      </c>
      <c r="V246" s="332">
        <f t="shared" si="112"/>
        <v>-118.03951715475424</v>
      </c>
      <c r="W246" s="334">
        <f t="shared" si="113"/>
        <v>61.960482845245764</v>
      </c>
      <c r="Y246" s="307">
        <f t="shared" si="114"/>
        <v>1000000000</v>
      </c>
      <c r="Z246" s="307">
        <f t="shared" si="115"/>
        <v>221332567.5625</v>
      </c>
      <c r="AB246" s="333">
        <f t="shared" si="116"/>
        <v>34.967298667066956</v>
      </c>
      <c r="AC246" s="334">
        <f t="shared" si="117"/>
        <v>-23.730992850437289</v>
      </c>
      <c r="AE246" s="333">
        <f t="shared" si="118"/>
        <v>-1.3360684612701634</v>
      </c>
      <c r="AF246" s="334">
        <f t="shared" si="119"/>
        <v>-90.997950652343988</v>
      </c>
      <c r="AH246">
        <f t="shared" si="120"/>
        <v>0</v>
      </c>
      <c r="AI246">
        <f t="shared" si="125"/>
        <v>0</v>
      </c>
    </row>
    <row r="247" spans="1:35" x14ac:dyDescent="0.25">
      <c r="A247" s="335">
        <v>14963.5</v>
      </c>
      <c r="B247" s="352">
        <f t="shared" si="121"/>
        <v>14.9635</v>
      </c>
      <c r="C247" s="325">
        <f t="shared" si="96"/>
        <v>31.887440688786867</v>
      </c>
      <c r="D247" s="326">
        <f t="shared" si="97"/>
        <v>1.5394308749907313</v>
      </c>
      <c r="E247" s="326">
        <f t="shared" si="98"/>
        <v>1.0007069075543447</v>
      </c>
      <c r="F247" s="327">
        <f t="shared" si="99"/>
        <v>3.7589662767439191E-2</v>
      </c>
      <c r="G247" s="326">
        <f t="shared" si="100"/>
        <v>1</v>
      </c>
      <c r="H247" s="327">
        <f t="shared" si="101"/>
        <v>0</v>
      </c>
      <c r="I247" s="325">
        <f t="shared" si="102"/>
        <v>4937.5804114107832</v>
      </c>
      <c r="J247" s="328">
        <f t="shared" si="103"/>
        <v>1.5705937984462899</v>
      </c>
      <c r="K247" s="336">
        <f t="shared" si="123"/>
        <v>3.6327567038175581</v>
      </c>
      <c r="L247" s="337">
        <f t="shared" si="124"/>
        <v>1.2919226181177681</v>
      </c>
      <c r="M247" s="325">
        <f t="shared" si="104"/>
        <v>1.009147678892379</v>
      </c>
      <c r="N247" s="337">
        <f t="shared" si="105"/>
        <v>0.13474780573162157</v>
      </c>
      <c r="O247" s="343">
        <f t="shared" si="106"/>
        <v>1.0037732080842898</v>
      </c>
      <c r="P247" s="691">
        <f t="shared" si="107"/>
        <v>8.673386778435821E-2</v>
      </c>
      <c r="Q247" s="336">
        <f t="shared" si="122"/>
        <v>4.2001891181361799</v>
      </c>
      <c r="R247" s="692">
        <f t="shared" si="108"/>
        <v>0.14484029857775724</v>
      </c>
      <c r="S247" s="329">
        <f t="shared" si="109"/>
        <v>0.99832000295209444</v>
      </c>
      <c r="T247" s="330">
        <f t="shared" si="110"/>
        <v>8.6841359078685537E-2</v>
      </c>
      <c r="U247" s="331">
        <f t="shared" si="111"/>
        <v>9.102715636841932</v>
      </c>
      <c r="V247" s="332">
        <f t="shared" si="112"/>
        <v>-118.04122277533131</v>
      </c>
      <c r="W247" s="334">
        <f t="shared" si="113"/>
        <v>61.958777224668694</v>
      </c>
      <c r="Y247" s="307">
        <f t="shared" si="114"/>
        <v>1000000000</v>
      </c>
      <c r="Z247" s="307">
        <f t="shared" si="115"/>
        <v>223906332.25</v>
      </c>
      <c r="AB247" s="333">
        <f t="shared" si="116"/>
        <v>34.962572516883839</v>
      </c>
      <c r="AC247" s="334">
        <f t="shared" si="117"/>
        <v>-23.687163098890558</v>
      </c>
      <c r="AE247" s="333">
        <f t="shared" si="118"/>
        <v>-1.3859921381427218</v>
      </c>
      <c r="AF247" s="334">
        <f t="shared" si="119"/>
        <v>-91.024806425605803</v>
      </c>
      <c r="AH247">
        <f t="shared" si="120"/>
        <v>0</v>
      </c>
      <c r="AI247">
        <f t="shared" si="125"/>
        <v>0</v>
      </c>
    </row>
    <row r="248" spans="1:35" x14ac:dyDescent="0.25">
      <c r="A248" s="335">
        <v>15049.75</v>
      </c>
      <c r="B248" s="352">
        <f t="shared" si="121"/>
        <v>15.04975</v>
      </c>
      <c r="C248" s="325">
        <f t="shared" si="96"/>
        <v>32.071060475322746</v>
      </c>
      <c r="D248" s="326">
        <f t="shared" si="97"/>
        <v>1.5396105132900004</v>
      </c>
      <c r="E248" s="326">
        <f t="shared" si="98"/>
        <v>1.0007150773873947</v>
      </c>
      <c r="F248" s="327">
        <f t="shared" si="99"/>
        <v>3.7806124746886625E-2</v>
      </c>
      <c r="G248" s="326">
        <f t="shared" si="100"/>
        <v>1</v>
      </c>
      <c r="H248" s="327">
        <f t="shared" si="101"/>
        <v>0</v>
      </c>
      <c r="I248" s="325">
        <f t="shared" si="102"/>
        <v>4966.0407511084586</v>
      </c>
      <c r="J248" s="328">
        <f t="shared" si="103"/>
        <v>1.5705949591346464</v>
      </c>
      <c r="K248" s="336">
        <f t="shared" si="123"/>
        <v>3.6521135301657219</v>
      </c>
      <c r="L248" s="337">
        <f t="shared" si="124"/>
        <v>1.2934399151562128</v>
      </c>
      <c r="M248" s="325">
        <f t="shared" si="104"/>
        <v>1.0092529528988459</v>
      </c>
      <c r="N248" s="337">
        <f t="shared" si="105"/>
        <v>0.13551504812184045</v>
      </c>
      <c r="O248" s="343">
        <f t="shared" si="106"/>
        <v>1.0038167482483362</v>
      </c>
      <c r="P248" s="691">
        <f t="shared" si="107"/>
        <v>8.7231278981607263E-2</v>
      </c>
      <c r="Q248" s="336">
        <f t="shared" si="122"/>
        <v>4.2006908121417794</v>
      </c>
      <c r="R248" s="692">
        <f t="shared" si="108"/>
        <v>0.14566357797938401</v>
      </c>
      <c r="S248" s="329">
        <f t="shared" si="109"/>
        <v>0.9983007369815321</v>
      </c>
      <c r="T248" s="330">
        <f t="shared" si="110"/>
        <v>8.7344877919450808E-2</v>
      </c>
      <c r="U248" s="331">
        <f t="shared" si="111"/>
        <v>9.0477514823106979</v>
      </c>
      <c r="V248" s="332">
        <f t="shared" si="112"/>
        <v>-118.04372484794004</v>
      </c>
      <c r="W248" s="334">
        <f t="shared" si="113"/>
        <v>61.956275152059959</v>
      </c>
      <c r="Y248" s="307">
        <f t="shared" si="114"/>
        <v>1000000000</v>
      </c>
      <c r="Z248" s="307">
        <f t="shared" si="115"/>
        <v>226494975.0625</v>
      </c>
      <c r="AB248" s="333">
        <f t="shared" si="116"/>
        <v>34.957903637206059</v>
      </c>
      <c r="AC248" s="334">
        <f t="shared" si="117"/>
        <v>-23.64425463563817</v>
      </c>
      <c r="AE248" s="333">
        <f t="shared" si="118"/>
        <v>-1.4356267391499766</v>
      </c>
      <c r="AF248" s="334">
        <f t="shared" si="119"/>
        <v>-91.051546088657162</v>
      </c>
      <c r="AH248">
        <f t="shared" si="120"/>
        <v>0</v>
      </c>
      <c r="AI248">
        <f t="shared" si="125"/>
        <v>0</v>
      </c>
    </row>
    <row r="249" spans="1:35" x14ac:dyDescent="0.25">
      <c r="A249" s="335">
        <v>15136</v>
      </c>
      <c r="B249" s="352">
        <f t="shared" si="121"/>
        <v>15.135999999999999</v>
      </c>
      <c r="C249" s="325">
        <f t="shared" si="96"/>
        <v>32.254681285005788</v>
      </c>
      <c r="D249" s="326">
        <f t="shared" si="97"/>
        <v>1.5397881062899765</v>
      </c>
      <c r="E249" s="326">
        <f t="shared" si="98"/>
        <v>1.0007232941089719</v>
      </c>
      <c r="F249" s="327">
        <f t="shared" si="99"/>
        <v>3.802258318183168E-2</v>
      </c>
      <c r="G249" s="326">
        <f t="shared" si="100"/>
        <v>1</v>
      </c>
      <c r="H249" s="327">
        <f t="shared" si="101"/>
        <v>0</v>
      </c>
      <c r="I249" s="325">
        <f t="shared" si="102"/>
        <v>4994.5010908127479</v>
      </c>
      <c r="J249" s="328">
        <f t="shared" si="103"/>
        <v>1.5705961065950211</v>
      </c>
      <c r="K249" s="336">
        <f t="shared" si="123"/>
        <v>3.6714786757069167</v>
      </c>
      <c r="L249" s="337">
        <f t="shared" si="124"/>
        <v>1.294941209710962</v>
      </c>
      <c r="M249" s="325">
        <f t="shared" si="104"/>
        <v>1.0093588208889173</v>
      </c>
      <c r="N249" s="337">
        <f t="shared" si="105"/>
        <v>0.13628213001698214</v>
      </c>
      <c r="O249" s="343">
        <f t="shared" si="106"/>
        <v>1.0038605367530333</v>
      </c>
      <c r="P249" s="691">
        <f t="shared" si="107"/>
        <v>8.7728646907645189E-2</v>
      </c>
      <c r="Q249" s="336">
        <f t="shared" si="122"/>
        <v>4.2011953291901989</v>
      </c>
      <c r="R249" s="692">
        <f t="shared" si="108"/>
        <v>0.14648666101992922</v>
      </c>
      <c r="S249" s="329">
        <f t="shared" si="109"/>
        <v>0.99828136390507549</v>
      </c>
      <c r="T249" s="330">
        <f t="shared" si="110"/>
        <v>8.784844784818864E-2</v>
      </c>
      <c r="U249" s="331">
        <f t="shared" si="111"/>
        <v>8.9931254888364727</v>
      </c>
      <c r="V249" s="332">
        <f t="shared" si="112"/>
        <v>-118.0470110135184</v>
      </c>
      <c r="W249" s="334">
        <f t="shared" si="113"/>
        <v>61.9529889864816</v>
      </c>
      <c r="Y249" s="307">
        <f t="shared" si="114"/>
        <v>1000000000</v>
      </c>
      <c r="Z249" s="307">
        <f t="shared" si="115"/>
        <v>229098496</v>
      </c>
      <c r="AB249" s="333">
        <f t="shared" si="116"/>
        <v>34.953290702502798</v>
      </c>
      <c r="AC249" s="334">
        <f t="shared" si="117"/>
        <v>-23.602253093566222</v>
      </c>
      <c r="AE249" s="333">
        <f t="shared" si="118"/>
        <v>-1.4849755438038867</v>
      </c>
      <c r="AF249" s="334">
        <f t="shared" si="119"/>
        <v>-91.078171694901314</v>
      </c>
      <c r="AH249">
        <f t="shared" si="120"/>
        <v>0</v>
      </c>
      <c r="AI249">
        <f t="shared" si="125"/>
        <v>0</v>
      </c>
    </row>
    <row r="250" spans="1:35" x14ac:dyDescent="0.25">
      <c r="A250" s="335">
        <v>15224</v>
      </c>
      <c r="B250" s="352">
        <f t="shared" si="121"/>
        <v>15.224</v>
      </c>
      <c r="C250" s="325">
        <f t="shared" si="96"/>
        <v>32.442028770776261</v>
      </c>
      <c r="D250" s="326">
        <f t="shared" si="97"/>
        <v>1.5399672306813026</v>
      </c>
      <c r="E250" s="326">
        <f t="shared" si="98"/>
        <v>1.0007317258706614</v>
      </c>
      <c r="F250" s="327">
        <f t="shared" si="99"/>
        <v>3.8243429852986795E-2</v>
      </c>
      <c r="G250" s="326">
        <f t="shared" si="100"/>
        <v>1</v>
      </c>
      <c r="H250" s="327">
        <f t="shared" si="101"/>
        <v>0</v>
      </c>
      <c r="I250" s="325">
        <f t="shared" si="102"/>
        <v>5023.538886691651</v>
      </c>
      <c r="J250" s="328">
        <f t="shared" si="103"/>
        <v>1.5705972639371861</v>
      </c>
      <c r="K250" s="336">
        <f t="shared" si="123"/>
        <v>3.6912451754846649</v>
      </c>
      <c r="L250" s="337">
        <f t="shared" si="124"/>
        <v>1.2964567268709404</v>
      </c>
      <c r="M250" s="325">
        <f t="shared" si="104"/>
        <v>1.0094674489148789</v>
      </c>
      <c r="N250" s="337">
        <f t="shared" si="105"/>
        <v>0.13706460959573091</v>
      </c>
      <c r="O250" s="343">
        <f t="shared" si="106"/>
        <v>1.0039054696363878</v>
      </c>
      <c r="P250" s="691">
        <f t="shared" si="107"/>
        <v>8.8236061510317057E-2</v>
      </c>
      <c r="Q250" s="336">
        <f t="shared" si="122"/>
        <v>4.2017129913038911</v>
      </c>
      <c r="R250" s="692">
        <f t="shared" si="108"/>
        <v>0.14732624084912349</v>
      </c>
      <c r="S250" s="329">
        <f t="shared" si="109"/>
        <v>0.99826148742890342</v>
      </c>
      <c r="T250" s="330">
        <f t="shared" si="110"/>
        <v>8.836228809486367E-2</v>
      </c>
      <c r="U250" s="331">
        <f t="shared" si="111"/>
        <v>8.9377349842738045</v>
      </c>
      <c r="V250" s="332">
        <f t="shared" si="112"/>
        <v>-118.05115939722904</v>
      </c>
      <c r="W250" s="334">
        <f t="shared" si="113"/>
        <v>61.948840602770957</v>
      </c>
      <c r="Y250" s="307">
        <f t="shared" si="114"/>
        <v>1000000000</v>
      </c>
      <c r="Z250" s="307">
        <f t="shared" si="115"/>
        <v>231770176</v>
      </c>
      <c r="AB250" s="333">
        <f t="shared" si="116"/>
        <v>34.948640492115871</v>
      </c>
      <c r="AC250" s="334">
        <f t="shared" si="117"/>
        <v>-23.560319444710878</v>
      </c>
      <c r="AE250" s="333">
        <f t="shared" si="118"/>
        <v>-1.535034420020285</v>
      </c>
      <c r="AF250" s="334">
        <f t="shared" si="119"/>
        <v>-91.105222061864779</v>
      </c>
      <c r="AH250">
        <f t="shared" si="120"/>
        <v>0</v>
      </c>
      <c r="AI250">
        <f t="shared" si="125"/>
        <v>0</v>
      </c>
    </row>
    <row r="251" spans="1:35" x14ac:dyDescent="0.25">
      <c r="A251" s="335">
        <v>15312</v>
      </c>
      <c r="B251" s="352">
        <f t="shared" si="121"/>
        <v>15.311999999999999</v>
      </c>
      <c r="C251" s="325">
        <f t="shared" si="96"/>
        <v>32.629377285513705</v>
      </c>
      <c r="D251" s="326">
        <f t="shared" si="97"/>
        <v>1.5401442981166182</v>
      </c>
      <c r="E251" s="326">
        <f t="shared" si="98"/>
        <v>1.0007402064404678</v>
      </c>
      <c r="F251" s="327">
        <f t="shared" si="99"/>
        <v>3.8464272791872388E-2</v>
      </c>
      <c r="G251" s="326">
        <f t="shared" si="100"/>
        <v>1</v>
      </c>
      <c r="H251" s="327">
        <f t="shared" si="101"/>
        <v>0</v>
      </c>
      <c r="I251" s="325">
        <f t="shared" si="102"/>
        <v>5052.5766825772034</v>
      </c>
      <c r="J251" s="328">
        <f t="shared" si="103"/>
        <v>1.5705984079765682</v>
      </c>
      <c r="K251" s="336">
        <f t="shared" si="123"/>
        <v>3.7110200629592347</v>
      </c>
      <c r="L251" s="337">
        <f t="shared" si="124"/>
        <v>1.2979560959920933</v>
      </c>
      <c r="M251" s="325">
        <f t="shared" si="104"/>
        <v>1.0095766948785805</v>
      </c>
      <c r="N251" s="337">
        <f t="shared" si="105"/>
        <v>0.13784692030966406</v>
      </c>
      <c r="O251" s="343">
        <f t="shared" si="106"/>
        <v>1.0039506609716853</v>
      </c>
      <c r="P251" s="691">
        <f t="shared" si="107"/>
        <v>8.8743430562594594E-2</v>
      </c>
      <c r="Q251" s="336">
        <f t="shared" si="122"/>
        <v>4.2022335900367018</v>
      </c>
      <c r="R251" s="692">
        <f t="shared" si="108"/>
        <v>0.14816561410255191</v>
      </c>
      <c r="S251" s="329">
        <f t="shared" si="109"/>
        <v>0.99824149958831598</v>
      </c>
      <c r="T251" s="330">
        <f t="shared" si="110"/>
        <v>8.8876182139285886E-2</v>
      </c>
      <c r="U251" s="331">
        <f t="shared" si="111"/>
        <v>8.8826871104233369</v>
      </c>
      <c r="V251" s="332">
        <f t="shared" si="112"/>
        <v>-118.05609877323307</v>
      </c>
      <c r="W251" s="334">
        <f t="shared" si="113"/>
        <v>61.943901226766926</v>
      </c>
      <c r="Y251" s="307">
        <f t="shared" si="114"/>
        <v>1000000000</v>
      </c>
      <c r="Z251" s="307">
        <f t="shared" si="115"/>
        <v>234457344</v>
      </c>
      <c r="AB251" s="333">
        <f t="shared" si="116"/>
        <v>34.944045841799721</v>
      </c>
      <c r="AC251" s="334">
        <f t="shared" si="117"/>
        <v>-23.519300572894132</v>
      </c>
      <c r="AE251" s="333">
        <f t="shared" si="118"/>
        <v>-1.5848025061836162</v>
      </c>
      <c r="AF251" s="334">
        <f t="shared" si="119"/>
        <v>-91.132157870157243</v>
      </c>
      <c r="AH251">
        <f t="shared" si="120"/>
        <v>0</v>
      </c>
      <c r="AI251">
        <f t="shared" si="125"/>
        <v>0</v>
      </c>
    </row>
    <row r="252" spans="1:35" x14ac:dyDescent="0.25">
      <c r="A252" s="335">
        <v>15400</v>
      </c>
      <c r="B252" s="352">
        <f t="shared" si="121"/>
        <v>15.4</v>
      </c>
      <c r="C252" s="325">
        <f t="shared" si="96"/>
        <v>32.816726811595217</v>
      </c>
      <c r="D252" s="326">
        <f t="shared" si="97"/>
        <v>1.5403193438139899</v>
      </c>
      <c r="E252" s="326">
        <f t="shared" si="98"/>
        <v>1.0007487358171503</v>
      </c>
      <c r="F252" s="327">
        <f t="shared" si="99"/>
        <v>3.8685111977041886E-2</v>
      </c>
      <c r="G252" s="326">
        <f t="shared" si="100"/>
        <v>1</v>
      </c>
      <c r="H252" s="327">
        <f t="shared" si="101"/>
        <v>0</v>
      </c>
      <c r="I252" s="325">
        <f t="shared" si="102"/>
        <v>5081.6144784692951</v>
      </c>
      <c r="J252" s="328">
        <f t="shared" si="103"/>
        <v>1.5705995389412153</v>
      </c>
      <c r="K252" s="336">
        <f t="shared" si="123"/>
        <v>3.7308032047552517</v>
      </c>
      <c r="L252" s="337">
        <f t="shared" si="124"/>
        <v>1.299439567160964</v>
      </c>
      <c r="M252" s="325">
        <f t="shared" si="104"/>
        <v>1.0096865585794434</v>
      </c>
      <c r="N252" s="337">
        <f t="shared" si="105"/>
        <v>0.1386290612561861</v>
      </c>
      <c r="O252" s="343">
        <f t="shared" si="106"/>
        <v>1.0039961107240261</v>
      </c>
      <c r="P252" s="691">
        <f t="shared" si="107"/>
        <v>8.9250753809429068E-2</v>
      </c>
      <c r="Q252" s="336">
        <f t="shared" si="122"/>
        <v>4.2027571242974213</v>
      </c>
      <c r="R252" s="692">
        <f t="shared" si="108"/>
        <v>0.14900477968907319</v>
      </c>
      <c r="S252" s="329">
        <f t="shared" si="109"/>
        <v>0.99822140045051089</v>
      </c>
      <c r="T252" s="330">
        <f t="shared" si="110"/>
        <v>8.9390130292346479E-2</v>
      </c>
      <c r="U252" s="331">
        <f t="shared" si="111"/>
        <v>8.827977263849716</v>
      </c>
      <c r="V252" s="332">
        <f t="shared" si="112"/>
        <v>-118.06181676296183</v>
      </c>
      <c r="W252" s="334">
        <f t="shared" si="113"/>
        <v>61.938183237038174</v>
      </c>
      <c r="Y252" s="307">
        <f t="shared" si="114"/>
        <v>1000000000</v>
      </c>
      <c r="Z252" s="307">
        <f t="shared" si="115"/>
        <v>237160000</v>
      </c>
      <c r="AB252" s="333">
        <f t="shared" si="116"/>
        <v>34.939505452309014</v>
      </c>
      <c r="AC252" s="334">
        <f t="shared" si="117"/>
        <v>-23.479182110563794</v>
      </c>
      <c r="AE252" s="333">
        <f t="shared" si="118"/>
        <v>-1.6342831103599542</v>
      </c>
      <c r="AF252" s="334">
        <f t="shared" si="119"/>
        <v>-91.158981156666826</v>
      </c>
      <c r="AH252">
        <f t="shared" si="120"/>
        <v>0</v>
      </c>
      <c r="AI252">
        <f t="shared" si="125"/>
        <v>0</v>
      </c>
    </row>
    <row r="253" spans="1:35" x14ac:dyDescent="0.25">
      <c r="A253" s="335">
        <v>15488</v>
      </c>
      <c r="B253" s="352">
        <f t="shared" si="121"/>
        <v>15.488</v>
      </c>
      <c r="C253" s="325">
        <f t="shared" si="96"/>
        <v>33.004077331797923</v>
      </c>
      <c r="D253" s="326">
        <f t="shared" si="97"/>
        <v>1.540492402192313</v>
      </c>
      <c r="E253" s="326">
        <f t="shared" si="98"/>
        <v>1.000757313999461</v>
      </c>
      <c r="F253" s="327">
        <f t="shared" si="99"/>
        <v>3.8905947387050922E-2</v>
      </c>
      <c r="G253" s="326">
        <f t="shared" si="100"/>
        <v>1</v>
      </c>
      <c r="H253" s="327">
        <f t="shared" si="101"/>
        <v>0</v>
      </c>
      <c r="I253" s="325">
        <f t="shared" si="102"/>
        <v>5110.6522743678124</v>
      </c>
      <c r="J253" s="328">
        <f t="shared" si="103"/>
        <v>1.5706006570539917</v>
      </c>
      <c r="K253" s="336">
        <f t="shared" si="123"/>
        <v>3.7505944702562943</v>
      </c>
      <c r="L253" s="337">
        <f t="shared" si="124"/>
        <v>1.3009073854686406</v>
      </c>
      <c r="M253" s="325">
        <f t="shared" si="104"/>
        <v>1.0097970398158427</v>
      </c>
      <c r="N253" s="337">
        <f t="shared" si="105"/>
        <v>0.13941103153392412</v>
      </c>
      <c r="O253" s="343">
        <f t="shared" si="106"/>
        <v>1.0040418188583171</v>
      </c>
      <c r="P253" s="691">
        <f t="shared" si="107"/>
        <v>8.9758030995912161E-2</v>
      </c>
      <c r="Q253" s="336">
        <f t="shared" si="122"/>
        <v>4.2032835929892345</v>
      </c>
      <c r="R253" s="692">
        <f t="shared" si="108"/>
        <v>0.14984373651924837</v>
      </c>
      <c r="S253" s="329">
        <f t="shared" si="109"/>
        <v>0.99820119008307961</v>
      </c>
      <c r="T253" s="330">
        <f t="shared" si="110"/>
        <v>8.9904132864933803E-2</v>
      </c>
      <c r="U253" s="331">
        <f t="shared" si="111"/>
        <v>8.7736009317847472</v>
      </c>
      <c r="V253" s="332">
        <f t="shared" si="112"/>
        <v>-118.06830122813832</v>
      </c>
      <c r="W253" s="334">
        <f t="shared" si="113"/>
        <v>61.931698771861676</v>
      </c>
      <c r="Y253" s="307">
        <f t="shared" si="114"/>
        <v>1000000000</v>
      </c>
      <c r="Z253" s="307">
        <f t="shared" si="115"/>
        <v>239878144</v>
      </c>
      <c r="AB253" s="333">
        <f t="shared" si="116"/>
        <v>34.935018058721667</v>
      </c>
      <c r="AC253" s="334">
        <f t="shared" si="117"/>
        <v>-23.43994997615923</v>
      </c>
      <c r="AE253" s="333">
        <f t="shared" si="118"/>
        <v>-1.6834794842902701</v>
      </c>
      <c r="AF253" s="334">
        <f t="shared" si="119"/>
        <v>-91.185693912492184</v>
      </c>
      <c r="AH253">
        <f t="shared" si="120"/>
        <v>0</v>
      </c>
      <c r="AI253">
        <f t="shared" si="125"/>
        <v>0</v>
      </c>
    </row>
    <row r="254" spans="1:35" x14ac:dyDescent="0.25">
      <c r="A254" s="335">
        <v>15578.25</v>
      </c>
      <c r="B254" s="352">
        <f t="shared" si="121"/>
        <v>15.578250000000001</v>
      </c>
      <c r="C254" s="325">
        <f t="shared" si="96"/>
        <v>33.196219079106179</v>
      </c>
      <c r="D254" s="326">
        <f t="shared" si="97"/>
        <v>1.5406678564081231</v>
      </c>
      <c r="E254" s="326">
        <f t="shared" si="98"/>
        <v>1.0007661622023698</v>
      </c>
      <c r="F254" s="327">
        <f t="shared" si="99"/>
        <v>3.9132425213333197E-2</v>
      </c>
      <c r="G254" s="326">
        <f t="shared" si="100"/>
        <v>1</v>
      </c>
      <c r="H254" s="327">
        <f t="shared" si="101"/>
        <v>0</v>
      </c>
      <c r="I254" s="325">
        <f t="shared" si="102"/>
        <v>5140.4325139180228</v>
      </c>
      <c r="J254" s="328">
        <f t="shared" si="103"/>
        <v>1.5706017906340581</v>
      </c>
      <c r="K254" s="336">
        <f t="shared" si="123"/>
        <v>3.7709000663650856</v>
      </c>
      <c r="L254" s="337">
        <f t="shared" si="124"/>
        <v>1.3023967265230469</v>
      </c>
      <c r="M254" s="325">
        <f t="shared" si="104"/>
        <v>1.0099109870655498</v>
      </c>
      <c r="N254" s="337">
        <f t="shared" si="105"/>
        <v>0.14021281715687239</v>
      </c>
      <c r="O254" s="343">
        <f t="shared" si="106"/>
        <v>1.0040889640054727</v>
      </c>
      <c r="P254" s="691">
        <f t="shared" si="107"/>
        <v>9.0278230228929585E-2</v>
      </c>
      <c r="Q254" s="336">
        <f t="shared" si="122"/>
        <v>4.2038265693057939</v>
      </c>
      <c r="R254" s="692">
        <f t="shared" si="108"/>
        <v>0.15070392597991439</v>
      </c>
      <c r="S254" s="329">
        <f t="shared" si="109"/>
        <v>0.99818034751262685</v>
      </c>
      <c r="T254" s="330">
        <f t="shared" si="110"/>
        <v>9.0431334398841587E-2</v>
      </c>
      <c r="U254" s="331">
        <f t="shared" si="111"/>
        <v>8.7181760761789189</v>
      </c>
      <c r="V254" s="332">
        <f t="shared" si="112"/>
        <v>-118.07573514352664</v>
      </c>
      <c r="W254" s="334">
        <f t="shared" si="113"/>
        <v>61.924264856473357</v>
      </c>
      <c r="Y254" s="307">
        <f t="shared" si="114"/>
        <v>1000000000</v>
      </c>
      <c r="Z254" s="307">
        <f t="shared" si="115"/>
        <v>242681873.0625</v>
      </c>
      <c r="AB254" s="333">
        <f t="shared" si="116"/>
        <v>34.930469686388086</v>
      </c>
      <c r="AC254" s="334">
        <f t="shared" si="117"/>
        <v>-23.400620901063999</v>
      </c>
      <c r="AE254" s="333">
        <f t="shared" si="118"/>
        <v>-1.7336418442948736</v>
      </c>
      <c r="AF254" s="334">
        <f t="shared" si="119"/>
        <v>-91.212976897833542</v>
      </c>
      <c r="AH254">
        <f t="shared" si="120"/>
        <v>0</v>
      </c>
      <c r="AI254">
        <f t="shared" si="125"/>
        <v>0</v>
      </c>
    </row>
    <row r="255" spans="1:35" x14ac:dyDescent="0.25">
      <c r="A255" s="335">
        <v>15668.5</v>
      </c>
      <c r="B255" s="352">
        <f t="shared" si="121"/>
        <v>15.6685</v>
      </c>
      <c r="C255" s="325">
        <f t="shared" si="96"/>
        <v>33.388361836571079</v>
      </c>
      <c r="D255" s="326">
        <f t="shared" si="97"/>
        <v>1.5408412912275504</v>
      </c>
      <c r="E255" s="326">
        <f t="shared" si="98"/>
        <v>1.0007750617358733</v>
      </c>
      <c r="F255" s="327">
        <f t="shared" si="99"/>
        <v>3.9358899023259571E-2</v>
      </c>
      <c r="G255" s="326">
        <f t="shared" si="100"/>
        <v>1</v>
      </c>
      <c r="H255" s="327">
        <f t="shared" si="101"/>
        <v>0</v>
      </c>
      <c r="I255" s="325">
        <f t="shared" si="102"/>
        <v>5170.2127534747615</v>
      </c>
      <c r="J255" s="328">
        <f t="shared" si="103"/>
        <v>1.5706029111553637</v>
      </c>
      <c r="K255" s="336">
        <f t="shared" si="123"/>
        <v>3.7912139372367277</v>
      </c>
      <c r="L255" s="337">
        <f t="shared" si="124"/>
        <v>1.3038701106083141</v>
      </c>
      <c r="M255" s="325">
        <f t="shared" si="104"/>
        <v>1.01002558340009</v>
      </c>
      <c r="N255" s="337">
        <f t="shared" si="105"/>
        <v>0.14101442135570397</v>
      </c>
      <c r="O255" s="343">
        <f t="shared" si="106"/>
        <v>1.0041363808408164</v>
      </c>
      <c r="P255" s="691">
        <f t="shared" si="107"/>
        <v>9.0798380473506662E-2</v>
      </c>
      <c r="Q255" s="336">
        <f t="shared" si="122"/>
        <v>4.2043726296731245</v>
      </c>
      <c r="R255" s="692">
        <f t="shared" si="108"/>
        <v>0.15156389355723063</v>
      </c>
      <c r="S255" s="329">
        <f t="shared" si="109"/>
        <v>0.99815938809722971</v>
      </c>
      <c r="T255" s="330">
        <f t="shared" si="110"/>
        <v>9.0958593832998494E-2</v>
      </c>
      <c r="U255" s="331">
        <f t="shared" si="111"/>
        <v>8.6630926760737736</v>
      </c>
      <c r="V255" s="332">
        <f t="shared" si="112"/>
        <v>-118.08395012137488</v>
      </c>
      <c r="W255" s="334">
        <f t="shared" si="113"/>
        <v>61.916049878625117</v>
      </c>
      <c r="Y255" s="307">
        <f t="shared" si="114"/>
        <v>1000000000</v>
      </c>
      <c r="Z255" s="307">
        <f t="shared" si="115"/>
        <v>245501892.25</v>
      </c>
      <c r="AB255" s="333">
        <f t="shared" si="116"/>
        <v>34.925974465935603</v>
      </c>
      <c r="AC255" s="334">
        <f t="shared" si="117"/>
        <v>-23.362194949907206</v>
      </c>
      <c r="AE255" s="333">
        <f t="shared" si="118"/>
        <v>-1.7835120051711888</v>
      </c>
      <c r="AF255" s="334">
        <f t="shared" si="119"/>
        <v>-91.240147727844985</v>
      </c>
      <c r="AH255">
        <f t="shared" si="120"/>
        <v>0</v>
      </c>
      <c r="AI255">
        <f t="shared" si="125"/>
        <v>0</v>
      </c>
    </row>
    <row r="256" spans="1:35" x14ac:dyDescent="0.25">
      <c r="A256" s="335">
        <v>15758.75</v>
      </c>
      <c r="B256" s="352">
        <f t="shared" si="121"/>
        <v>15.758749999999999</v>
      </c>
      <c r="C256" s="325">
        <f t="shared" si="96"/>
        <v>33.580505586852723</v>
      </c>
      <c r="D256" s="326">
        <f t="shared" si="97"/>
        <v>1.5410127413043253</v>
      </c>
      <c r="E256" s="326">
        <f t="shared" si="98"/>
        <v>1.0007840125986021</v>
      </c>
      <c r="F256" s="327">
        <f t="shared" si="99"/>
        <v>3.9585368793705632E-2</v>
      </c>
      <c r="G256" s="326">
        <f t="shared" si="100"/>
        <v>1</v>
      </c>
      <c r="H256" s="327">
        <f t="shared" si="101"/>
        <v>0</v>
      </c>
      <c r="I256" s="325">
        <f t="shared" si="102"/>
        <v>5199.9929930379194</v>
      </c>
      <c r="J256" s="328">
        <f t="shared" si="103"/>
        <v>1.5706040188422701</v>
      </c>
      <c r="K256" s="336">
        <f t="shared" si="123"/>
        <v>3.8115359505682878</v>
      </c>
      <c r="L256" s="337">
        <f t="shared" si="124"/>
        <v>1.3053277865096664</v>
      </c>
      <c r="M256" s="325">
        <f t="shared" si="104"/>
        <v>1.0101408285985551</v>
      </c>
      <c r="N256" s="337">
        <f t="shared" si="105"/>
        <v>0.14181584316216791</v>
      </c>
      <c r="O256" s="343">
        <f t="shared" si="106"/>
        <v>1.0041840693258612</v>
      </c>
      <c r="P256" s="691">
        <f t="shared" si="107"/>
        <v>9.131848145514318E-2</v>
      </c>
      <c r="Q256" s="336">
        <f t="shared" si="122"/>
        <v>4.2049217728898078</v>
      </c>
      <c r="R256" s="692">
        <f t="shared" si="108"/>
        <v>0.15242363808166806</v>
      </c>
      <c r="S256" s="329">
        <f t="shared" si="109"/>
        <v>0.99813831191109026</v>
      </c>
      <c r="T256" s="330">
        <f t="shared" si="110"/>
        <v>9.148591150274489E-2</v>
      </c>
      <c r="U256" s="331">
        <f t="shared" si="111"/>
        <v>8.6083461456301258</v>
      </c>
      <c r="V256" s="332">
        <f t="shared" si="112"/>
        <v>-118.09293381948768</v>
      </c>
      <c r="W256" s="334">
        <f t="shared" si="113"/>
        <v>61.907066180512317</v>
      </c>
      <c r="Y256" s="307">
        <f t="shared" si="114"/>
        <v>1000000000</v>
      </c>
      <c r="Z256" s="307">
        <f t="shared" si="115"/>
        <v>248338201.5625</v>
      </c>
      <c r="AB256" s="333">
        <f t="shared" si="116"/>
        <v>34.921531138515995</v>
      </c>
      <c r="AC256" s="334">
        <f t="shared" si="117"/>
        <v>-23.324657825723801</v>
      </c>
      <c r="AE256" s="333">
        <f t="shared" si="118"/>
        <v>-1.8330932981726624</v>
      </c>
      <c r="AF256" s="334">
        <f t="shared" si="119"/>
        <v>-91.267208408577602</v>
      </c>
      <c r="AH256">
        <f t="shared" si="120"/>
        <v>0</v>
      </c>
      <c r="AI256">
        <f t="shared" si="125"/>
        <v>0</v>
      </c>
    </row>
    <row r="257" spans="1:35" x14ac:dyDescent="0.25">
      <c r="A257" s="335">
        <v>15849</v>
      </c>
      <c r="B257" s="352">
        <f t="shared" si="121"/>
        <v>15.849</v>
      </c>
      <c r="C257" s="325">
        <f t="shared" si="96"/>
        <v>33.772650313005727</v>
      </c>
      <c r="D257" s="326">
        <f t="shared" si="97"/>
        <v>1.5411822405040203</v>
      </c>
      <c r="E257" s="326">
        <f t="shared" si="98"/>
        <v>1.0007930147891793</v>
      </c>
      <c r="F257" s="327">
        <f t="shared" si="99"/>
        <v>3.9811834501549473E-2</v>
      </c>
      <c r="G257" s="326">
        <f t="shared" si="100"/>
        <v>1</v>
      </c>
      <c r="H257" s="327">
        <f t="shared" si="101"/>
        <v>0</v>
      </c>
      <c r="I257" s="325">
        <f t="shared" si="102"/>
        <v>5229.7732326073829</v>
      </c>
      <c r="J257" s="328">
        <f t="shared" si="103"/>
        <v>1.5706051139140285</v>
      </c>
      <c r="K257" s="336">
        <f t="shared" si="123"/>
        <v>3.8318659768109948</v>
      </c>
      <c r="L257" s="337">
        <f t="shared" si="124"/>
        <v>1.3067699980027925</v>
      </c>
      <c r="M257" s="325">
        <f t="shared" si="104"/>
        <v>1.0102567224388876</v>
      </c>
      <c r="N257" s="337">
        <f t="shared" si="105"/>
        <v>0.14261708160939102</v>
      </c>
      <c r="O257" s="343">
        <f t="shared" si="106"/>
        <v>1.0042320294219074</v>
      </c>
      <c r="P257" s="691">
        <f t="shared" si="107"/>
        <v>9.1838532899497519E-2</v>
      </c>
      <c r="Q257" s="336">
        <f t="shared" si="122"/>
        <v>4.2054739977482676</v>
      </c>
      <c r="R257" s="692">
        <f t="shared" si="108"/>
        <v>0.15328315838561482</v>
      </c>
      <c r="S257" s="329">
        <f t="shared" si="109"/>
        <v>0.99811711902884692</v>
      </c>
      <c r="T257" s="330">
        <f t="shared" si="110"/>
        <v>9.2013287743417743E-2</v>
      </c>
      <c r="U257" s="331">
        <f t="shared" si="111"/>
        <v>8.5539319893303087</v>
      </c>
      <c r="V257" s="332">
        <f t="shared" si="112"/>
        <v>-118.10267413742321</v>
      </c>
      <c r="W257" s="334">
        <f t="shared" si="113"/>
        <v>61.897325862576793</v>
      </c>
      <c r="Y257" s="307">
        <f t="shared" si="114"/>
        <v>1000000000</v>
      </c>
      <c r="Z257" s="307">
        <f t="shared" si="115"/>
        <v>251190801</v>
      </c>
      <c r="AB257" s="333">
        <f t="shared" si="116"/>
        <v>34.917138478728162</v>
      </c>
      <c r="AC257" s="334">
        <f t="shared" si="117"/>
        <v>-23.287995518360042</v>
      </c>
      <c r="AE257" s="333">
        <f t="shared" si="118"/>
        <v>-1.8823889976988637</v>
      </c>
      <c r="AF257" s="334">
        <f t="shared" si="119"/>
        <v>-91.294160900923899</v>
      </c>
      <c r="AH257">
        <f t="shared" si="120"/>
        <v>0</v>
      </c>
      <c r="AI257">
        <f t="shared" si="125"/>
        <v>0</v>
      </c>
    </row>
    <row r="258" spans="1:35" x14ac:dyDescent="0.25">
      <c r="A258" s="335">
        <v>15941.25</v>
      </c>
      <c r="B258" s="352">
        <f t="shared" si="121"/>
        <v>15.94125</v>
      </c>
      <c r="C258" s="325">
        <f t="shared" si="96"/>
        <v>33.969054085340943</v>
      </c>
      <c r="D258" s="326">
        <f t="shared" si="97"/>
        <v>1.5413535141699124</v>
      </c>
      <c r="E258" s="326">
        <f t="shared" si="98"/>
        <v>1.0008022695194825</v>
      </c>
      <c r="F258" s="327">
        <f t="shared" si="99"/>
        <v>4.004331461732321E-2</v>
      </c>
      <c r="G258" s="326">
        <f t="shared" si="100"/>
        <v>1</v>
      </c>
      <c r="H258" s="327">
        <f t="shared" si="101"/>
        <v>0</v>
      </c>
      <c r="I258" s="325">
        <f t="shared" si="102"/>
        <v>5260.2134220906109</v>
      </c>
      <c r="J258" s="328">
        <f t="shared" si="103"/>
        <v>1.5706062204387887</v>
      </c>
      <c r="K258" s="336">
        <f t="shared" si="123"/>
        <v>3.8526546791207577</v>
      </c>
      <c r="L258" s="337">
        <f t="shared" si="124"/>
        <v>1.308228436287177</v>
      </c>
      <c r="M258" s="325">
        <f t="shared" si="104"/>
        <v>1.010375854694022</v>
      </c>
      <c r="N258" s="337">
        <f t="shared" si="105"/>
        <v>0.14343588552879288</v>
      </c>
      <c r="O258" s="343">
        <f t="shared" si="106"/>
        <v>1.0042813330113678</v>
      </c>
      <c r="P258" s="691">
        <f t="shared" si="107"/>
        <v>9.2370057548028919E-2</v>
      </c>
      <c r="Q258" s="336">
        <f t="shared" si="122"/>
        <v>4.2060416438483728</v>
      </c>
      <c r="R258" s="692">
        <f t="shared" si="108"/>
        <v>0.15416149328845416</v>
      </c>
      <c r="S258" s="329">
        <f t="shared" si="109"/>
        <v>0.99809533597255551</v>
      </c>
      <c r="T258" s="330">
        <f t="shared" si="110"/>
        <v>9.2552411873581403E-2</v>
      </c>
      <c r="U258" s="331">
        <f t="shared" si="111"/>
        <v>8.4986508950862376</v>
      </c>
      <c r="V258" s="332">
        <f t="shared" si="112"/>
        <v>-118.11339991276721</v>
      </c>
      <c r="W258" s="334">
        <f t="shared" si="113"/>
        <v>61.886600087232793</v>
      </c>
      <c r="Y258" s="307">
        <f t="shared" si="114"/>
        <v>1000000000</v>
      </c>
      <c r="Z258" s="307">
        <f t="shared" si="115"/>
        <v>254123451.5625</v>
      </c>
      <c r="AB258" s="333">
        <f t="shared" si="116"/>
        <v>34.912699597121374</v>
      </c>
      <c r="AC258" s="334">
        <f t="shared" si="117"/>
        <v>-23.251410567971895</v>
      </c>
      <c r="AE258" s="333">
        <f t="shared" si="118"/>
        <v>-1.9324853165629925</v>
      </c>
      <c r="AF258" s="334">
        <f t="shared" si="119"/>
        <v>-91.321600862769614</v>
      </c>
      <c r="AH258">
        <f t="shared" si="120"/>
        <v>0</v>
      </c>
      <c r="AI258">
        <f t="shared" si="125"/>
        <v>0</v>
      </c>
    </row>
    <row r="259" spans="1:35" x14ac:dyDescent="0.25">
      <c r="A259" s="335">
        <v>16033.5</v>
      </c>
      <c r="B259" s="352">
        <f t="shared" si="121"/>
        <v>16.0335</v>
      </c>
      <c r="C259" s="325">
        <f t="shared" si="96"/>
        <v>34.165458842690462</v>
      </c>
      <c r="D259" s="326">
        <f t="shared" si="97"/>
        <v>1.5415228186610941</v>
      </c>
      <c r="E259" s="326">
        <f t="shared" si="98"/>
        <v>1.0008115778748243</v>
      </c>
      <c r="F259" s="327">
        <f t="shared" si="99"/>
        <v>4.0274790439596163E-2</v>
      </c>
      <c r="G259" s="326">
        <f t="shared" si="100"/>
        <v>1</v>
      </c>
      <c r="H259" s="327">
        <f t="shared" si="101"/>
        <v>0</v>
      </c>
      <c r="I259" s="325">
        <f t="shared" si="102"/>
        <v>5290.6536115802055</v>
      </c>
      <c r="J259" s="328">
        <f t="shared" si="103"/>
        <v>1.5706073142305954</v>
      </c>
      <c r="K259" s="336">
        <f t="shared" si="123"/>
        <v>3.8734514882175417</v>
      </c>
      <c r="L259" s="337">
        <f t="shared" si="124"/>
        <v>1.3096712167159237</v>
      </c>
      <c r="M259" s="325">
        <f t="shared" si="104"/>
        <v>1.0104956641854137</v>
      </c>
      <c r="N259" s="337">
        <f t="shared" si="105"/>
        <v>0.14425449583382385</v>
      </c>
      <c r="O259" s="343">
        <f t="shared" si="106"/>
        <v>1.0043309203009323</v>
      </c>
      <c r="P259" s="691">
        <f t="shared" si="107"/>
        <v>9.2901529860279913E-2</v>
      </c>
      <c r="Q259" s="336">
        <f t="shared" si="122"/>
        <v>4.2066125071151408</v>
      </c>
      <c r="R259" s="692">
        <f t="shared" si="108"/>
        <v>0.15503959146219831</v>
      </c>
      <c r="S259" s="329">
        <f t="shared" si="109"/>
        <v>0.99807343114981562</v>
      </c>
      <c r="T259" s="330">
        <f t="shared" si="110"/>
        <v>9.3091597907858661E-2</v>
      </c>
      <c r="U259" s="331">
        <f t="shared" si="111"/>
        <v>8.4437078502339116</v>
      </c>
      <c r="V259" s="332">
        <f t="shared" si="112"/>
        <v>-118.1248913968393</v>
      </c>
      <c r="W259" s="334">
        <f t="shared" si="113"/>
        <v>61.875108603160697</v>
      </c>
      <c r="Y259" s="307">
        <f t="shared" si="114"/>
        <v>1000000000</v>
      </c>
      <c r="Z259" s="307">
        <f t="shared" si="115"/>
        <v>257073122.25</v>
      </c>
      <c r="AB259" s="333">
        <f t="shared" si="116"/>
        <v>34.908311167155624</v>
      </c>
      <c r="AC259" s="334">
        <f t="shared" si="117"/>
        <v>-23.21571092379822</v>
      </c>
      <c r="AE259" s="333">
        <f t="shared" si="118"/>
        <v>-1.9822899856433147</v>
      </c>
      <c r="AF259" s="334">
        <f t="shared" si="119"/>
        <v>-91.348931792059076</v>
      </c>
      <c r="AH259">
        <f t="shared" si="120"/>
        <v>0</v>
      </c>
      <c r="AI259">
        <f t="shared" si="125"/>
        <v>0</v>
      </c>
    </row>
    <row r="260" spans="1:35" x14ac:dyDescent="0.25">
      <c r="A260" s="335">
        <v>16125.75</v>
      </c>
      <c r="B260" s="352">
        <f t="shared" si="121"/>
        <v>16.12575</v>
      </c>
      <c r="C260" s="325">
        <f t="shared" si="96"/>
        <v>34.361864568163888</v>
      </c>
      <c r="D260" s="326">
        <f t="shared" si="97"/>
        <v>1.5416901877340328</v>
      </c>
      <c r="E260" s="326">
        <f t="shared" si="98"/>
        <v>1.0008209398537087</v>
      </c>
      <c r="F260" s="327">
        <f t="shared" si="99"/>
        <v>4.050626194368305E-2</v>
      </c>
      <c r="G260" s="326">
        <f t="shared" si="100"/>
        <v>1</v>
      </c>
      <c r="H260" s="327">
        <f t="shared" si="101"/>
        <v>0</v>
      </c>
      <c r="I260" s="325">
        <f t="shared" si="102"/>
        <v>5321.0938010760574</v>
      </c>
      <c r="J260" s="328">
        <f t="shared" si="103"/>
        <v>1.5706083955079713</v>
      </c>
      <c r="K260" s="336">
        <f t="shared" si="123"/>
        <v>3.8942562742213744</v>
      </c>
      <c r="L260" s="337">
        <f t="shared" si="124"/>
        <v>1.3110985841867211</v>
      </c>
      <c r="M260" s="325">
        <f t="shared" si="104"/>
        <v>1.0106161506722011</v>
      </c>
      <c r="N260" s="337">
        <f t="shared" si="105"/>
        <v>0.14507291149640059</v>
      </c>
      <c r="O260" s="343">
        <f t="shared" si="106"/>
        <v>1.0043807912485807</v>
      </c>
      <c r="P260" s="691">
        <f t="shared" si="107"/>
        <v>9.3432949543782173E-2</v>
      </c>
      <c r="Q260" s="336">
        <f t="shared" si="122"/>
        <v>4.2071865862390752</v>
      </c>
      <c r="R260" s="692">
        <f t="shared" si="108"/>
        <v>0.15591745166614326</v>
      </c>
      <c r="S260" s="329">
        <f t="shared" si="109"/>
        <v>0.99805140464175313</v>
      </c>
      <c r="T260" s="330">
        <f t="shared" si="110"/>
        <v>9.3630846204366916E-2</v>
      </c>
      <c r="U260" s="331">
        <f t="shared" si="111"/>
        <v>8.3890983313868102</v>
      </c>
      <c r="V260" s="332">
        <f t="shared" si="112"/>
        <v>-118.13713641335742</v>
      </c>
      <c r="W260" s="334">
        <f t="shared" si="113"/>
        <v>61.862863586642575</v>
      </c>
      <c r="Y260" s="307">
        <f t="shared" si="114"/>
        <v>1000000000</v>
      </c>
      <c r="Z260" s="307">
        <f t="shared" si="115"/>
        <v>260039813.0625</v>
      </c>
      <c r="AB260" s="333">
        <f t="shared" si="116"/>
        <v>34.903971981827425</v>
      </c>
      <c r="AC260" s="334">
        <f t="shared" si="117"/>
        <v>-23.18088250785064</v>
      </c>
      <c r="AE260" s="333">
        <f t="shared" si="118"/>
        <v>-2.0318063259630001</v>
      </c>
      <c r="AF260" s="334">
        <f t="shared" si="119"/>
        <v>-91.376155644828415</v>
      </c>
      <c r="AH260">
        <f t="shared" si="120"/>
        <v>0</v>
      </c>
      <c r="AI260">
        <f t="shared" si="125"/>
        <v>0</v>
      </c>
    </row>
    <row r="261" spans="1:35" x14ac:dyDescent="0.25">
      <c r="A261" s="335">
        <v>16218</v>
      </c>
      <c r="B261" s="352">
        <f t="shared" si="121"/>
        <v>16.218</v>
      </c>
      <c r="C261" s="325">
        <f t="shared" si="96"/>
        <v>34.558271245254772</v>
      </c>
      <c r="D261" s="326">
        <f t="shared" si="97"/>
        <v>1.541855654378236</v>
      </c>
      <c r="E261" s="326">
        <f t="shared" si="98"/>
        <v>1.0008303554546303</v>
      </c>
      <c r="F261" s="327">
        <f t="shared" si="99"/>
        <v>4.0737729104901345E-2</v>
      </c>
      <c r="G261" s="326">
        <f t="shared" si="100"/>
        <v>1</v>
      </c>
      <c r="H261" s="327">
        <f t="shared" si="101"/>
        <v>0</v>
      </c>
      <c r="I261" s="325">
        <f t="shared" si="102"/>
        <v>5351.5339905780593</v>
      </c>
      <c r="J261" s="328">
        <f t="shared" si="103"/>
        <v>1.5706094644844675</v>
      </c>
      <c r="K261" s="336">
        <f t="shared" si="123"/>
        <v>3.9150689099637348</v>
      </c>
      <c r="L261" s="337">
        <f t="shared" si="124"/>
        <v>1.3125107786439427</v>
      </c>
      <c r="M261" s="325">
        <f t="shared" si="104"/>
        <v>1.0107373139122777</v>
      </c>
      <c r="N261" s="337">
        <f t="shared" si="105"/>
        <v>0.14589113148997135</v>
      </c>
      <c r="O261" s="343">
        <f t="shared" si="106"/>
        <v>1.0044309458120615</v>
      </c>
      <c r="P261" s="691">
        <f t="shared" si="107"/>
        <v>9.3964316306244244E-2</v>
      </c>
      <c r="Q261" s="336">
        <f t="shared" si="122"/>
        <v>4.2077638799040145</v>
      </c>
      <c r="R261" s="692">
        <f t="shared" si="108"/>
        <v>0.15679507266171522</v>
      </c>
      <c r="S261" s="329">
        <f t="shared" si="109"/>
        <v>0.99802925652997143</v>
      </c>
      <c r="T261" s="330">
        <f t="shared" si="110"/>
        <v>9.4170157121219525E-2</v>
      </c>
      <c r="U261" s="331">
        <f t="shared" si="111"/>
        <v>8.3348179039508121</v>
      </c>
      <c r="V261" s="332">
        <f t="shared" si="112"/>
        <v>-118.15012302581427</v>
      </c>
      <c r="W261" s="334">
        <f t="shared" si="113"/>
        <v>61.849876974185733</v>
      </c>
      <c r="Y261" s="307">
        <f t="shared" si="114"/>
        <v>1000000000</v>
      </c>
      <c r="Z261" s="307">
        <f t="shared" si="115"/>
        <v>263023524</v>
      </c>
      <c r="AB261" s="333">
        <f t="shared" si="116"/>
        <v>34.899680866278864</v>
      </c>
      <c r="AC261" s="334">
        <f t="shared" si="117"/>
        <v>-23.146911525747708</v>
      </c>
      <c r="AE261" s="333">
        <f t="shared" si="118"/>
        <v>-2.0810376019205052</v>
      </c>
      <c r="AF261" s="334">
        <f t="shared" si="119"/>
        <v>-91.403274333169733</v>
      </c>
      <c r="AH261">
        <f t="shared" si="120"/>
        <v>0</v>
      </c>
      <c r="AI261">
        <f t="shared" si="125"/>
        <v>0</v>
      </c>
    </row>
    <row r="262" spans="1:35" x14ac:dyDescent="0.25">
      <c r="A262" s="335">
        <v>16312.5</v>
      </c>
      <c r="B262" s="352">
        <f t="shared" si="121"/>
        <v>16.3125</v>
      </c>
      <c r="C262" s="325">
        <f t="shared" si="96"/>
        <v>34.759469298957583</v>
      </c>
      <c r="D262" s="326">
        <f t="shared" si="97"/>
        <v>1.5420232178992326</v>
      </c>
      <c r="E262" s="326">
        <f t="shared" si="98"/>
        <v>1.0008400563025419</v>
      </c>
      <c r="F262" s="327">
        <f t="shared" si="99"/>
        <v>4.0974837277793351E-2</v>
      </c>
      <c r="G262" s="326">
        <f t="shared" si="100"/>
        <v>1</v>
      </c>
      <c r="H262" s="327">
        <f t="shared" si="101"/>
        <v>0</v>
      </c>
      <c r="I262" s="325">
        <f t="shared" si="102"/>
        <v>5382.7166237327201</v>
      </c>
      <c r="J262" s="328">
        <f t="shared" si="103"/>
        <v>1.5706105469971374</v>
      </c>
      <c r="K262" s="336">
        <f t="shared" si="123"/>
        <v>3.9363971800747257</v>
      </c>
      <c r="L262" s="337">
        <f t="shared" si="124"/>
        <v>1.313941929967112</v>
      </c>
      <c r="M262" s="325">
        <f t="shared" si="104"/>
        <v>1.0108621338127977</v>
      </c>
      <c r="N262" s="337">
        <f t="shared" si="105"/>
        <v>0.14672910411147375</v>
      </c>
      <c r="O262" s="343">
        <f t="shared" si="106"/>
        <v>1.0044826176895494</v>
      </c>
      <c r="P262" s="691">
        <f t="shared" si="107"/>
        <v>9.4508588055378553E-2</v>
      </c>
      <c r="Q262" s="336">
        <f t="shared" si="122"/>
        <v>4.208358585621764</v>
      </c>
      <c r="R262" s="692">
        <f t="shared" si="108"/>
        <v>0.15769384972392664</v>
      </c>
      <c r="S262" s="329">
        <f t="shared" si="109"/>
        <v>0.99800644221733825</v>
      </c>
      <c r="T262" s="330">
        <f t="shared" si="110"/>
        <v>9.4722687267168162E-2</v>
      </c>
      <c r="U262" s="331">
        <f t="shared" si="111"/>
        <v>8.2795502483057302</v>
      </c>
      <c r="V262" s="332">
        <f t="shared" si="112"/>
        <v>-118.16418310176455</v>
      </c>
      <c r="W262" s="334">
        <f t="shared" si="113"/>
        <v>61.83581689823545</v>
      </c>
      <c r="Y262" s="307">
        <f t="shared" si="114"/>
        <v>1000000000</v>
      </c>
      <c r="Z262" s="307">
        <f t="shared" si="115"/>
        <v>266097656.25</v>
      </c>
      <c r="AB262" s="333">
        <f t="shared" si="116"/>
        <v>34.895333736753422</v>
      </c>
      <c r="AC262" s="334">
        <f t="shared" si="117"/>
        <v>-23.112986913013643</v>
      </c>
      <c r="AE262" s="333">
        <f t="shared" si="118"/>
        <v>-2.1311774164877155</v>
      </c>
      <c r="AF262" s="334">
        <f t="shared" si="119"/>
        <v>-91.430947363576664</v>
      </c>
      <c r="AH262">
        <f t="shared" si="120"/>
        <v>0</v>
      </c>
      <c r="AI262">
        <f t="shared" si="125"/>
        <v>0</v>
      </c>
    </row>
    <row r="263" spans="1:35" x14ac:dyDescent="0.25">
      <c r="A263" s="335">
        <v>16407</v>
      </c>
      <c r="B263" s="352">
        <f t="shared" si="121"/>
        <v>16.407</v>
      </c>
      <c r="C263" s="325">
        <f t="shared" si="96"/>
        <v>34.960668317387274</v>
      </c>
      <c r="D263" s="326">
        <f t="shared" si="97"/>
        <v>1.54218885276514</v>
      </c>
      <c r="E263" s="326">
        <f t="shared" si="98"/>
        <v>1.0008498134168748</v>
      </c>
      <c r="F263" s="327">
        <f t="shared" si="99"/>
        <v>4.1211940840960803E-2</v>
      </c>
      <c r="G263" s="326">
        <f t="shared" si="100"/>
        <v>1</v>
      </c>
      <c r="H263" s="327">
        <f t="shared" si="101"/>
        <v>0</v>
      </c>
      <c r="I263" s="325">
        <f t="shared" si="102"/>
        <v>5413.8992568936155</v>
      </c>
      <c r="J263" s="328">
        <f t="shared" si="103"/>
        <v>1.5706116170398319</v>
      </c>
      <c r="K263" s="336">
        <f t="shared" si="123"/>
        <v>3.9577334257837955</v>
      </c>
      <c r="L263" s="337">
        <f t="shared" si="124"/>
        <v>1.3153576534145972</v>
      </c>
      <c r="M263" s="325">
        <f t="shared" si="104"/>
        <v>1.0109876633632362</v>
      </c>
      <c r="N263" s="337">
        <f t="shared" si="105"/>
        <v>0.14756686922694776</v>
      </c>
      <c r="O263" s="343">
        <f t="shared" si="106"/>
        <v>1.0045345870960043</v>
      </c>
      <c r="P263" s="691">
        <f t="shared" si="107"/>
        <v>9.5052803650121392E-2</v>
      </c>
      <c r="Q263" s="336">
        <f t="shared" si="122"/>
        <v>4.2089566617823424</v>
      </c>
      <c r="R263" s="692">
        <f t="shared" si="108"/>
        <v>0.15859237314249633</v>
      </c>
      <c r="S263" s="329">
        <f t="shared" si="109"/>
        <v>0.99798350047164541</v>
      </c>
      <c r="T263" s="330">
        <f t="shared" si="110"/>
        <v>9.5275283886107398E-2</v>
      </c>
      <c r="U263" s="331">
        <f t="shared" si="111"/>
        <v>8.2246187882967607</v>
      </c>
      <c r="V263" s="332">
        <f t="shared" si="112"/>
        <v>-118.178996779825</v>
      </c>
      <c r="W263" s="334">
        <f t="shared" si="113"/>
        <v>61.821003220175001</v>
      </c>
      <c r="Y263" s="307">
        <f t="shared" si="114"/>
        <v>1000000000</v>
      </c>
      <c r="Z263" s="307">
        <f t="shared" si="115"/>
        <v>269189649</v>
      </c>
      <c r="AB263" s="333">
        <f t="shared" si="116"/>
        <v>34.891034653762205</v>
      </c>
      <c r="AC263" s="334">
        <f t="shared" si="117"/>
        <v>-23.079933648747506</v>
      </c>
      <c r="AE263" s="333">
        <f t="shared" si="118"/>
        <v>-2.1810248495860098</v>
      </c>
      <c r="AF263" s="334">
        <f t="shared" si="119"/>
        <v>-91.458513962926261</v>
      </c>
      <c r="AH263">
        <f t="shared" si="120"/>
        <v>0</v>
      </c>
      <c r="AI263">
        <f t="shared" si="125"/>
        <v>0</v>
      </c>
    </row>
    <row r="264" spans="1:35" x14ac:dyDescent="0.25">
      <c r="A264" s="335">
        <v>16501.5</v>
      </c>
      <c r="B264" s="352">
        <f t="shared" si="121"/>
        <v>16.5015</v>
      </c>
      <c r="C264" s="325">
        <f t="shared" si="96"/>
        <v>35.161868283983125</v>
      </c>
      <c r="D264" s="326">
        <f t="shared" si="97"/>
        <v>1.5423525920747023</v>
      </c>
      <c r="E264" s="326">
        <f t="shared" si="98"/>
        <v>1.0008596267959833</v>
      </c>
      <c r="F264" s="327">
        <f t="shared" si="99"/>
        <v>4.1449039767879885E-2</v>
      </c>
      <c r="G264" s="326">
        <f t="shared" si="100"/>
        <v>1</v>
      </c>
      <c r="H264" s="327">
        <f t="shared" si="101"/>
        <v>0</v>
      </c>
      <c r="I264" s="325">
        <f t="shared" si="102"/>
        <v>5445.08189006064</v>
      </c>
      <c r="J264" s="328">
        <f t="shared" si="103"/>
        <v>1.5706126748267881</v>
      </c>
      <c r="K264" s="336">
        <f t="shared" si="123"/>
        <v>3.9790775187928782</v>
      </c>
      <c r="L264" s="337">
        <f t="shared" si="124"/>
        <v>1.3167581915344015</v>
      </c>
      <c r="M264" s="325">
        <f t="shared" si="104"/>
        <v>1.011113902299285</v>
      </c>
      <c r="N264" s="337">
        <f t="shared" si="105"/>
        <v>0.14840442573792723</v>
      </c>
      <c r="O264" s="343">
        <f t="shared" si="106"/>
        <v>1.0045868539852505</v>
      </c>
      <c r="P264" s="691">
        <f t="shared" si="107"/>
        <v>9.5596962776851493E-2</v>
      </c>
      <c r="Q264" s="336">
        <f t="shared" si="122"/>
        <v>4.2095581069492738</v>
      </c>
      <c r="R264" s="692">
        <f t="shared" si="108"/>
        <v>0.15949064159300924</v>
      </c>
      <c r="S264" s="329">
        <f t="shared" si="109"/>
        <v>0.99796043138217194</v>
      </c>
      <c r="T264" s="330">
        <f t="shared" si="110"/>
        <v>9.5827947362984986E-2</v>
      </c>
      <c r="U264" s="331">
        <f t="shared" si="111"/>
        <v>8.1700190319555013</v>
      </c>
      <c r="V264" s="332">
        <f t="shared" si="112"/>
        <v>-118.19455197443567</v>
      </c>
      <c r="W264" s="334">
        <f t="shared" si="113"/>
        <v>61.805448025564331</v>
      </c>
      <c r="Y264" s="307">
        <f t="shared" si="114"/>
        <v>1000000000</v>
      </c>
      <c r="Z264" s="307">
        <f t="shared" si="115"/>
        <v>272299502.25</v>
      </c>
      <c r="AB264" s="333">
        <f t="shared" si="116"/>
        <v>34.886782452824242</v>
      </c>
      <c r="AC264" s="334">
        <f t="shared" si="117"/>
        <v>-23.047737785309771</v>
      </c>
      <c r="AE264" s="333">
        <f t="shared" si="118"/>
        <v>-2.2305832337862741</v>
      </c>
      <c r="AF264" s="334">
        <f t="shared" si="119"/>
        <v>-91.485976051212532</v>
      </c>
      <c r="AH264">
        <f t="shared" si="120"/>
        <v>0</v>
      </c>
      <c r="AI264">
        <f t="shared" si="125"/>
        <v>0</v>
      </c>
    </row>
    <row r="265" spans="1:35" x14ac:dyDescent="0.25">
      <c r="A265" s="335">
        <v>16596</v>
      </c>
      <c r="B265" s="352">
        <f t="shared" si="121"/>
        <v>16.596</v>
      </c>
      <c r="C265" s="325">
        <f t="shared" si="96"/>
        <v>35.363069182561205</v>
      </c>
      <c r="D265" s="326">
        <f t="shared" si="97"/>
        <v>1.5425144681738046</v>
      </c>
      <c r="E265" s="326">
        <f t="shared" si="98"/>
        <v>1.0008694964382123</v>
      </c>
      <c r="F265" s="327">
        <f t="shared" si="99"/>
        <v>4.1686134032029899E-2</v>
      </c>
      <c r="G265" s="326">
        <f t="shared" si="100"/>
        <v>1</v>
      </c>
      <c r="H265" s="327">
        <f t="shared" si="101"/>
        <v>0</v>
      </c>
      <c r="I265" s="325">
        <f t="shared" si="102"/>
        <v>5476.2645232336863</v>
      </c>
      <c r="J265" s="328">
        <f t="shared" si="103"/>
        <v>1.5706137205673643</v>
      </c>
      <c r="K265" s="336">
        <f t="shared" si="123"/>
        <v>4.0004293334953305</v>
      </c>
      <c r="L265" s="337">
        <f t="shared" si="124"/>
        <v>1.3181437819373987</v>
      </c>
      <c r="M265" s="325">
        <f t="shared" si="104"/>
        <v>1.0112408503552739</v>
      </c>
      <c r="N265" s="337">
        <f t="shared" si="105"/>
        <v>0.14924177254766374</v>
      </c>
      <c r="O265" s="343">
        <f t="shared" si="106"/>
        <v>1.0046394183108585</v>
      </c>
      <c r="P265" s="691">
        <f t="shared" si="107"/>
        <v>9.6141065122146471E-2</v>
      </c>
      <c r="Q265" s="336">
        <f t="shared" si="122"/>
        <v>4.2101629196788135</v>
      </c>
      <c r="R265" s="692">
        <f t="shared" si="108"/>
        <v>0.16038865375343705</v>
      </c>
      <c r="S265" s="329">
        <f t="shared" si="109"/>
        <v>0.997937235038723</v>
      </c>
      <c r="T265" s="330">
        <f t="shared" si="110"/>
        <v>9.6380678082743906E-2</v>
      </c>
      <c r="U265" s="331">
        <f t="shared" si="111"/>
        <v>8.115746575378477</v>
      </c>
      <c r="V265" s="332">
        <f t="shared" si="112"/>
        <v>-118.21083683972171</v>
      </c>
      <c r="W265" s="334">
        <f t="shared" si="113"/>
        <v>61.789163160278292</v>
      </c>
      <c r="Y265" s="307">
        <f t="shared" si="114"/>
        <v>1000000000</v>
      </c>
      <c r="Z265" s="307">
        <f t="shared" si="115"/>
        <v>275427216</v>
      </c>
      <c r="AB265" s="333">
        <f t="shared" si="116"/>
        <v>34.882576000610307</v>
      </c>
      <c r="AC265" s="334">
        <f t="shared" si="117"/>
        <v>-23.016385657756516</v>
      </c>
      <c r="AE265" s="333">
        <f t="shared" si="118"/>
        <v>-2.279855844770204</v>
      </c>
      <c r="AF265" s="334">
        <f t="shared" si="119"/>
        <v>-91.513335505293256</v>
      </c>
      <c r="AH265">
        <f t="shared" si="120"/>
        <v>0</v>
      </c>
      <c r="AI265">
        <f t="shared" si="125"/>
        <v>0</v>
      </c>
    </row>
    <row r="266" spans="1:35" x14ac:dyDescent="0.25">
      <c r="A266" s="335">
        <v>16692.5</v>
      </c>
      <c r="B266" s="352">
        <f t="shared" si="121"/>
        <v>16.692499999999999</v>
      </c>
      <c r="C266" s="325">
        <f t="shared" si="96"/>
        <v>35.568529246556061</v>
      </c>
      <c r="D266" s="326">
        <f t="shared" si="97"/>
        <v>1.5426778802960552</v>
      </c>
      <c r="E266" s="326">
        <f t="shared" si="98"/>
        <v>1.0008796330218808</v>
      </c>
      <c r="F266" s="327">
        <f t="shared" si="99"/>
        <v>4.1928241324808158E-2</v>
      </c>
      <c r="G266" s="326">
        <f t="shared" si="100"/>
        <v>1</v>
      </c>
      <c r="H266" s="327">
        <f t="shared" si="101"/>
        <v>0</v>
      </c>
      <c r="I266" s="325">
        <f t="shared" si="102"/>
        <v>5508.1071063212667</v>
      </c>
      <c r="J266" s="328">
        <f t="shared" si="103"/>
        <v>1.5706147762211349</v>
      </c>
      <c r="K266" s="336">
        <f t="shared" si="123"/>
        <v>4.0222408792146265</v>
      </c>
      <c r="L266" s="337">
        <f t="shared" si="124"/>
        <v>1.3195435133166367</v>
      </c>
      <c r="M266" s="325">
        <f t="shared" si="104"/>
        <v>1.011371216655587</v>
      </c>
      <c r="N266" s="337">
        <f t="shared" si="105"/>
        <v>0.15009662343962021</v>
      </c>
      <c r="O266" s="343">
        <f t="shared" si="106"/>
        <v>1.0046934020058464</v>
      </c>
      <c r="P266" s="691">
        <f t="shared" si="107"/>
        <v>9.6696623938740192E-2</v>
      </c>
      <c r="Q266" s="336">
        <f t="shared" si="122"/>
        <v>4.2107840063933262</v>
      </c>
      <c r="R266" s="692">
        <f t="shared" si="108"/>
        <v>0.16130540560714343</v>
      </c>
      <c r="S266" s="329">
        <f t="shared" si="109"/>
        <v>0.99791341653896615</v>
      </c>
      <c r="T266" s="330">
        <f t="shared" si="110"/>
        <v>9.6945176599836438E-2</v>
      </c>
      <c r="U266" s="331">
        <f t="shared" si="111"/>
        <v>8.0606587717867555</v>
      </c>
      <c r="V266" s="332">
        <f t="shared" si="112"/>
        <v>-118.22820729003456</v>
      </c>
      <c r="W266" s="334">
        <f t="shared" si="113"/>
        <v>61.771792709965439</v>
      </c>
      <c r="Y266" s="307">
        <f t="shared" si="114"/>
        <v>1000000000</v>
      </c>
      <c r="Z266" s="307">
        <f t="shared" si="115"/>
        <v>278639556.25</v>
      </c>
      <c r="AB266" s="333">
        <f t="shared" si="116"/>
        <v>34.878326587968708</v>
      </c>
      <c r="AC266" s="334">
        <f t="shared" si="117"/>
        <v>-22.985226789966326</v>
      </c>
      <c r="AE266" s="333">
        <f t="shared" si="118"/>
        <v>-2.3298796991207675</v>
      </c>
      <c r="AF266" s="334">
        <f t="shared" si="119"/>
        <v>-91.541169986756557</v>
      </c>
      <c r="AH266">
        <f t="shared" si="120"/>
        <v>0</v>
      </c>
      <c r="AI266">
        <f t="shared" si="125"/>
        <v>0</v>
      </c>
    </row>
    <row r="267" spans="1:35" x14ac:dyDescent="0.25">
      <c r="A267" s="335">
        <v>16789</v>
      </c>
      <c r="B267" s="352">
        <f t="shared" si="121"/>
        <v>16.789000000000001</v>
      </c>
      <c r="C267" s="325">
        <f t="shared" si="96"/>
        <v>35.773990249445895</v>
      </c>
      <c r="D267" s="326">
        <f t="shared" si="97"/>
        <v>1.5428394153706593</v>
      </c>
      <c r="E267" s="326">
        <f t="shared" si="98"/>
        <v>1.0008898282718606</v>
      </c>
      <c r="F267" s="327">
        <f t="shared" si="99"/>
        <v>4.2170343699477385E-2</v>
      </c>
      <c r="G267" s="326">
        <f t="shared" si="100"/>
        <v>1</v>
      </c>
      <c r="H267" s="327">
        <f t="shared" si="101"/>
        <v>0</v>
      </c>
      <c r="I267" s="325">
        <f t="shared" si="102"/>
        <v>5539.9496894149152</v>
      </c>
      <c r="J267" s="328">
        <f t="shared" si="103"/>
        <v>1.5706158197395093</v>
      </c>
      <c r="K267" s="336">
        <f t="shared" si="123"/>
        <v>4.0440602204847904</v>
      </c>
      <c r="L267" s="337">
        <f t="shared" si="124"/>
        <v>1.3209281431500184</v>
      </c>
      <c r="M267" s="325">
        <f t="shared" si="104"/>
        <v>1.0115023218448662</v>
      </c>
      <c r="N267" s="337">
        <f t="shared" si="105"/>
        <v>0.15095125335413975</v>
      </c>
      <c r="O267" s="343">
        <f t="shared" si="106"/>
        <v>1.0047476957616535</v>
      </c>
      <c r="P267" s="691">
        <f t="shared" si="107"/>
        <v>9.7252122885081019E-2</v>
      </c>
      <c r="Q267" s="336">
        <f t="shared" si="122"/>
        <v>4.211408601655207</v>
      </c>
      <c r="R267" s="692">
        <f t="shared" si="108"/>
        <v>0.16222188742902763</v>
      </c>
      <c r="S267" s="329">
        <f t="shared" si="109"/>
        <v>0.99788946553277535</v>
      </c>
      <c r="T267" s="330">
        <f t="shared" si="110"/>
        <v>9.7509746047487661E-2</v>
      </c>
      <c r="U267" s="331">
        <f t="shared" si="111"/>
        <v>8.0059032578441656</v>
      </c>
      <c r="V267" s="332">
        <f t="shared" si="112"/>
        <v>-118.24631439633797</v>
      </c>
      <c r="W267" s="334">
        <f t="shared" si="113"/>
        <v>61.753685603662035</v>
      </c>
      <c r="Y267" s="307">
        <f t="shared" si="114"/>
        <v>1000000000</v>
      </c>
      <c r="Z267" s="307">
        <f t="shared" si="115"/>
        <v>281870521</v>
      </c>
      <c r="AB267" s="333">
        <f t="shared" si="116"/>
        <v>34.874122587511359</v>
      </c>
      <c r="AC267" s="334">
        <f t="shared" si="117"/>
        <v>-22.954919820637311</v>
      </c>
      <c r="AE267" s="333">
        <f t="shared" si="118"/>
        <v>-2.3796122840634077</v>
      </c>
      <c r="AF267" s="334">
        <f t="shared" si="119"/>
        <v>-91.568901267120197</v>
      </c>
      <c r="AH267">
        <f t="shared" si="120"/>
        <v>0</v>
      </c>
      <c r="AI267">
        <f t="shared" si="125"/>
        <v>0</v>
      </c>
    </row>
    <row r="268" spans="1:35" x14ac:dyDescent="0.25">
      <c r="A268" s="335">
        <v>16885.5</v>
      </c>
      <c r="B268" s="352">
        <f t="shared" si="121"/>
        <v>16.8855</v>
      </c>
      <c r="C268" s="325">
        <f t="shared" si="96"/>
        <v>35.979452175146015</v>
      </c>
      <c r="D268" s="326">
        <f t="shared" si="97"/>
        <v>1.5429991055459533</v>
      </c>
      <c r="E268" s="326">
        <f t="shared" si="98"/>
        <v>1.000900082186359</v>
      </c>
      <c r="F268" s="327">
        <f t="shared" si="99"/>
        <v>4.241244112780735E-2</v>
      </c>
      <c r="G268" s="326">
        <f t="shared" si="100"/>
        <v>1</v>
      </c>
      <c r="H268" s="327">
        <f t="shared" si="101"/>
        <v>0</v>
      </c>
      <c r="I268" s="325">
        <f t="shared" si="102"/>
        <v>5571.7922725145263</v>
      </c>
      <c r="J268" s="328">
        <f t="shared" si="103"/>
        <v>1.5706168513305472</v>
      </c>
      <c r="K268" s="336">
        <f t="shared" si="123"/>
        <v>4.0658872318027468</v>
      </c>
      <c r="L268" s="337">
        <f t="shared" si="124"/>
        <v>1.3222979092952387</v>
      </c>
      <c r="M268" s="325">
        <f t="shared" si="104"/>
        <v>1.0116341656358374</v>
      </c>
      <c r="N268" s="337">
        <f t="shared" si="105"/>
        <v>0.15180566112895028</v>
      </c>
      <c r="O268" s="343">
        <f t="shared" si="106"/>
        <v>1.0048022995280175</v>
      </c>
      <c r="P268" s="691">
        <f t="shared" si="107"/>
        <v>9.7807561628071346E-2</v>
      </c>
      <c r="Q268" s="336">
        <f t="shared" si="122"/>
        <v>4.2120367039037339</v>
      </c>
      <c r="R268" s="692">
        <f t="shared" si="108"/>
        <v>0.16313809781910646</v>
      </c>
      <c r="S268" s="329">
        <f t="shared" si="109"/>
        <v>0.99786538211747833</v>
      </c>
      <c r="T268" s="330">
        <f t="shared" si="110"/>
        <v>9.8074386835586502E-2</v>
      </c>
      <c r="U268" s="331">
        <f t="shared" si="111"/>
        <v>7.9514756139297766</v>
      </c>
      <c r="V268" s="332">
        <f t="shared" si="112"/>
        <v>-118.26514628165582</v>
      </c>
      <c r="W268" s="334">
        <f t="shared" si="113"/>
        <v>61.734853718344183</v>
      </c>
      <c r="Y268" s="307">
        <f t="shared" si="114"/>
        <v>1000000000</v>
      </c>
      <c r="Z268" s="307">
        <f t="shared" si="115"/>
        <v>285120110.25</v>
      </c>
      <c r="AB268" s="333">
        <f t="shared" si="116"/>
        <v>34.869962886762551</v>
      </c>
      <c r="AC268" s="334">
        <f t="shared" si="117"/>
        <v>-22.925451066855072</v>
      </c>
      <c r="AE268" s="333">
        <f t="shared" si="118"/>
        <v>-2.4290569122589423</v>
      </c>
      <c r="AF268" s="334">
        <f t="shared" si="119"/>
        <v>-91.596531213450547</v>
      </c>
      <c r="AH268">
        <f t="shared" si="120"/>
        <v>0</v>
      </c>
      <c r="AI268">
        <f t="shared" si="125"/>
        <v>0</v>
      </c>
    </row>
    <row r="269" spans="1:35" x14ac:dyDescent="0.25">
      <c r="A269" s="335">
        <v>16982</v>
      </c>
      <c r="B269" s="352">
        <f t="shared" si="121"/>
        <v>16.981999999999999</v>
      </c>
      <c r="C269" s="325">
        <f t="shared" ref="C269:C332" si="126">SQRT(1+(A269/pole1)^2)</f>
        <v>36.184915007936965</v>
      </c>
      <c r="D269" s="326">
        <f t="shared" ref="D269:D332" si="127">ATAN(A269/pole1)</f>
        <v>1.5431569822404847</v>
      </c>
      <c r="E269" s="326">
        <f t="shared" ref="E269:E332" si="128">SQRT(1+(A269/Zero1)^2)</f>
        <v>1.0009103947635731</v>
      </c>
      <c r="F269" s="327">
        <f t="shared" ref="F269:F332" si="129">ATAN(A269/Zero1)</f>
        <v>4.2654533581571293E-2</v>
      </c>
      <c r="G269" s="326">
        <f t="shared" ref="G269:G332" si="130">IF(VIN_nom&gt;Vout, 1, SQRT(1+(A269/z_RHP)^2))</f>
        <v>1</v>
      </c>
      <c r="H269" s="327">
        <f t="shared" ref="H269:H332" si="131">IF(VIN_nom&gt;Vout, 0, -ATAN(A269/z_RHP))</f>
        <v>0</v>
      </c>
      <c r="I269" s="325">
        <f t="shared" ref="I269:I332" si="132">SQRT(1+(A269/Pole2)^2)</f>
        <v>5603.6348556200001</v>
      </c>
      <c r="J269" s="328">
        <f t="shared" ref="J269:J332" si="133">ATAN(A269/Pole2)</f>
        <v>1.5706178711975793</v>
      </c>
      <c r="K269" s="336">
        <f t="shared" si="123"/>
        <v>4.0877217903023437</v>
      </c>
      <c r="L269" s="337">
        <f t="shared" si="124"/>
        <v>1.3236530447537198</v>
      </c>
      <c r="M269" s="325">
        <f t="shared" ref="M269:M332" si="134">SQRT(1+(A269/pole4)^2)</f>
        <v>1.0117667477397576</v>
      </c>
      <c r="N269" s="337">
        <f t="shared" ref="N269:N332" si="135">ATAN(A269/pole4)</f>
        <v>0.15265984560368107</v>
      </c>
      <c r="O269" s="343">
        <f t="shared" ref="O269:O332" si="136">IF(VOUT_setting=1,1,SQRT(1+(A269*zterm1)^2))</f>
        <v>1.0048572132544009</v>
      </c>
      <c r="P269" s="691">
        <f t="shared" ref="P269:P332" si="137">IF(VOUT_setting=1,0,ATAN(((A269*zterm1))))</f>
        <v>9.8362939834834268E-2</v>
      </c>
      <c r="Q269" s="336">
        <f t="shared" si="122"/>
        <v>4.2126683115703578</v>
      </c>
      <c r="R269" s="692">
        <f t="shared" ref="R269:R332" si="138">IF(VOUT_setting=1,0,ATAN(A269*$Q$4/(1+Afbr-$Q$5*(A269)^2)))</f>
        <v>0.16405403538003677</v>
      </c>
      <c r="S269" s="329">
        <f t="shared" ref="S269:S332" si="139">SQRT((1-(Z269/pterm2))^2+(A269/pterm1)^2)</f>
        <v>0.9978411663909752</v>
      </c>
      <c r="T269" s="330">
        <f t="shared" ref="T269:T332" si="140">IF((ATAN((A269/pterm1)/(1-A269^2/pterm2))&gt;0),ATAN((A269/pterm1)/(1-A269^2/pterm2)),PI()+ATAN((A269/pterm1)/(1-A269^2/pterm2)))</f>
        <v>9.8639099374016395E-2</v>
      </c>
      <c r="U269" s="331">
        <f t="shared" ref="U269:U332" si="141">20*LOG10(((E269*K269*G269*O269)/(C269*I269*S269*M269*Q269))*Adc)</f>
        <v>7.8973715066879393</v>
      </c>
      <c r="V269" s="332">
        <f t="shared" ref="V269:V332" si="142">((F269+L269+H269+P269)-(D269+J269+T269+N269+R269))*radconv</f>
        <v>-118.28469130541832</v>
      </c>
      <c r="W269" s="334">
        <f t="shared" ref="W269:W332" si="143">IF(V269&gt;0,V269,V269+180)</f>
        <v>61.71530869458168</v>
      </c>
      <c r="Y269" s="307">
        <f t="shared" ref="Y269:Y332" si="144">IF(U269&lt;0,A269,1000000000)</f>
        <v>1000000000</v>
      </c>
      <c r="Z269" s="307">
        <f t="shared" ref="Z269:Z332" si="145">A269^2</f>
        <v>288388324</v>
      </c>
      <c r="AB269" s="333">
        <f t="shared" ref="AB269:AB332" si="146">20*LOG10((K269/(I269*M269))*AEA)</f>
        <v>34.865846403046248</v>
      </c>
      <c r="AC269" s="334">
        <f t="shared" ref="AC269:AC332" si="147">(L269-(J269+N269))*radconv</f>
        <v>-22.896807123787141</v>
      </c>
      <c r="AE269" s="333">
        <f t="shared" ref="AE269:AE332" si="148">20*LOG10((E269*G269/(C269*S269))*Acs*Am)</f>
        <v>-2.4782168399283138</v>
      </c>
      <c r="AF269" s="334">
        <f t="shared" ref="AF269:AF332" si="149">(F269+H269-(D269+T269))*radconv</f>
        <v>-91.624061650999636</v>
      </c>
      <c r="AH269">
        <f t="shared" ref="AH269:AH332" si="150">SUM((U270&lt;0)*(U269&gt;0))*A269</f>
        <v>0</v>
      </c>
      <c r="AI269">
        <f t="shared" si="125"/>
        <v>0</v>
      </c>
    </row>
    <row r="270" spans="1:35" x14ac:dyDescent="0.25">
      <c r="A270" s="335">
        <v>17081</v>
      </c>
      <c r="B270" s="352">
        <f t="shared" ref="B270:B333" si="151">A270/1000</f>
        <v>17.081</v>
      </c>
      <c r="C270" s="325">
        <f t="shared" si="126"/>
        <v>36.395701638586345</v>
      </c>
      <c r="D270" s="326">
        <f t="shared" si="127"/>
        <v>1.5433170966273433</v>
      </c>
      <c r="E270" s="326">
        <f t="shared" si="128"/>
        <v>1.0009210354661404</v>
      </c>
      <c r="F270" s="327">
        <f t="shared" si="129"/>
        <v>4.290289266143197E-2</v>
      </c>
      <c r="G270" s="326">
        <f t="shared" si="130"/>
        <v>1</v>
      </c>
      <c r="H270" s="327">
        <f t="shared" si="131"/>
        <v>0</v>
      </c>
      <c r="I270" s="325">
        <f t="shared" si="132"/>
        <v>5636.3023761176146</v>
      </c>
      <c r="J270" s="328">
        <f t="shared" si="133"/>
        <v>1.5706189055107789</v>
      </c>
      <c r="K270" s="336">
        <f t="shared" si="123"/>
        <v>4.1101297278632378</v>
      </c>
      <c r="L270" s="337">
        <f t="shared" si="124"/>
        <v>1.3250283224313166</v>
      </c>
      <c r="M270" s="325">
        <f t="shared" si="134"/>
        <v>1.0119035315606422</v>
      </c>
      <c r="N270" s="337">
        <f t="shared" si="135"/>
        <v>0.15353592594315219</v>
      </c>
      <c r="O270" s="343">
        <f t="shared" si="136"/>
        <v>1.0049138716720338</v>
      </c>
      <c r="P270" s="691">
        <f t="shared" si="137"/>
        <v>9.8932642820378322E-2</v>
      </c>
      <c r="Q270" s="336">
        <f t="shared" si="122"/>
        <v>4.2133199232929082</v>
      </c>
      <c r="R270" s="692">
        <f t="shared" si="138"/>
        <v>0.16499341690859401</v>
      </c>
      <c r="S270" s="329">
        <f t="shared" si="139"/>
        <v>0.99781618592003107</v>
      </c>
      <c r="T270" s="330">
        <f t="shared" si="140"/>
        <v>9.9218516763210501E-2</v>
      </c>
      <c r="U270" s="331">
        <f t="shared" si="141"/>
        <v>7.8421975031184976</v>
      </c>
      <c r="V270" s="332">
        <f t="shared" si="142"/>
        <v>-118.30547180939939</v>
      </c>
      <c r="W270" s="334">
        <f t="shared" si="143"/>
        <v>61.694528190600607</v>
      </c>
      <c r="Y270" s="307">
        <f t="shared" si="144"/>
        <v>1000000000</v>
      </c>
      <c r="Z270" s="307">
        <f t="shared" si="145"/>
        <v>291760561</v>
      </c>
      <c r="AB270" s="333">
        <f t="shared" si="146"/>
        <v>34.86166708124258</v>
      </c>
      <c r="AC270" s="334">
        <f t="shared" si="147"/>
        <v>-22.868264484916775</v>
      </c>
      <c r="AE270" s="333">
        <f t="shared" si="148"/>
        <v>-2.5283578361774199</v>
      </c>
      <c r="AF270" s="334">
        <f t="shared" si="149"/>
        <v>-91.652203773535661</v>
      </c>
      <c r="AH270">
        <f t="shared" si="150"/>
        <v>0</v>
      </c>
      <c r="AI270">
        <f t="shared" si="125"/>
        <v>0</v>
      </c>
    </row>
    <row r="271" spans="1:35" x14ac:dyDescent="0.25">
      <c r="A271" s="335">
        <v>17180</v>
      </c>
      <c r="B271" s="352">
        <f t="shared" si="151"/>
        <v>17.18</v>
      </c>
      <c r="C271" s="325">
        <f t="shared" si="126"/>
        <v>36.606489191552889</v>
      </c>
      <c r="D271" s="326">
        <f t="shared" si="127"/>
        <v>1.5434753670763106</v>
      </c>
      <c r="E271" s="326">
        <f t="shared" si="128"/>
        <v>1.0009317379064369</v>
      </c>
      <c r="F271" s="327">
        <f t="shared" si="129"/>
        <v>4.3151246445463538E-2</v>
      </c>
      <c r="G271" s="326">
        <f t="shared" si="130"/>
        <v>1</v>
      </c>
      <c r="H271" s="327">
        <f t="shared" si="131"/>
        <v>0</v>
      </c>
      <c r="I271" s="325">
        <f t="shared" si="132"/>
        <v>5668.9698966211872</v>
      </c>
      <c r="J271" s="328">
        <f t="shared" si="133"/>
        <v>1.5706199279034891</v>
      </c>
      <c r="K271" s="336">
        <f t="shared" si="123"/>
        <v>4.1325453549640292</v>
      </c>
      <c r="L271" s="337">
        <f t="shared" si="124"/>
        <v>1.3263886831797935</v>
      </c>
      <c r="M271" s="325">
        <f t="shared" si="134"/>
        <v>1.0120410918241609</v>
      </c>
      <c r="N271" s="337">
        <f t="shared" si="135"/>
        <v>0.15441176879471694</v>
      </c>
      <c r="O271" s="343">
        <f t="shared" si="136"/>
        <v>1.0049708562091741</v>
      </c>
      <c r="P271" s="691">
        <f t="shared" si="137"/>
        <v>9.9502281383419738E-2</v>
      </c>
      <c r="Q271" s="336">
        <f t="shared" ref="Q271:Q334" si="152">IF(VOUT_setting=1,1,SQRT((1+Afbr-$Q$5*(A271)^2)^2+(A271*$Q$4)^2))</f>
        <v>4.213975221044401</v>
      </c>
      <c r="R271" s="692">
        <f t="shared" si="138"/>
        <v>0.16593250831777911</v>
      </c>
      <c r="S271" s="329">
        <f t="shared" si="139"/>
        <v>0.99779106640417381</v>
      </c>
      <c r="T271" s="330">
        <f t="shared" si="140"/>
        <v>9.9798010542474919E-2</v>
      </c>
      <c r="U271" s="331">
        <f t="shared" si="141"/>
        <v>7.7873550463452546</v>
      </c>
      <c r="V271" s="332">
        <f t="shared" si="142"/>
        <v>-118.32697879933504</v>
      </c>
      <c r="W271" s="334">
        <f t="shared" si="143"/>
        <v>61.673021200664962</v>
      </c>
      <c r="Y271" s="307">
        <f t="shared" si="144"/>
        <v>1000000000</v>
      </c>
      <c r="Z271" s="307">
        <f t="shared" si="145"/>
        <v>295152400</v>
      </c>
      <c r="AB271" s="333">
        <f t="shared" si="146"/>
        <v>34.857531028416368</v>
      </c>
      <c r="AC271" s="334">
        <f t="shared" si="147"/>
        <v>-22.840562233080803</v>
      </c>
      <c r="AE271" s="333">
        <f t="shared" si="148"/>
        <v>-2.578205955690537</v>
      </c>
      <c r="AF271" s="334">
        <f t="shared" si="149"/>
        <v>-91.680244926469996</v>
      </c>
      <c r="AH271">
        <f t="shared" si="150"/>
        <v>0</v>
      </c>
      <c r="AI271">
        <f t="shared" si="125"/>
        <v>0</v>
      </c>
    </row>
    <row r="272" spans="1:35" x14ac:dyDescent="0.25">
      <c r="A272" s="335">
        <v>17279</v>
      </c>
      <c r="B272" s="352">
        <f t="shared" si="151"/>
        <v>17.279</v>
      </c>
      <c r="C272" s="325">
        <f t="shared" si="126"/>
        <v>36.817277650995159</v>
      </c>
      <c r="D272" s="326">
        <f t="shared" si="127"/>
        <v>1.5436318252504555</v>
      </c>
      <c r="E272" s="326">
        <f t="shared" si="128"/>
        <v>1.000942502082482</v>
      </c>
      <c r="F272" s="327">
        <f t="shared" si="129"/>
        <v>4.339959490319964E-2</v>
      </c>
      <c r="G272" s="326">
        <f t="shared" si="130"/>
        <v>1</v>
      </c>
      <c r="H272" s="327">
        <f t="shared" si="131"/>
        <v>0</v>
      </c>
      <c r="I272" s="325">
        <f t="shared" si="132"/>
        <v>5701.6374171306197</v>
      </c>
      <c r="J272" s="328">
        <f t="shared" si="133"/>
        <v>1.5706209385806054</v>
      </c>
      <c r="K272" s="336">
        <f t="shared" si="123"/>
        <v>4.1549685471518929</v>
      </c>
      <c r="L272" s="337">
        <f t="shared" si="124"/>
        <v>1.3277343634304291</v>
      </c>
      <c r="M272" s="325">
        <f t="shared" si="134"/>
        <v>1.0121794282137468</v>
      </c>
      <c r="N272" s="337">
        <f t="shared" si="135"/>
        <v>0.15528737291175848</v>
      </c>
      <c r="O272" s="343">
        <f t="shared" si="136"/>
        <v>1.0050281668103496</v>
      </c>
      <c r="P272" s="691">
        <f t="shared" si="137"/>
        <v>0.10007185516526641</v>
      </c>
      <c r="Q272" s="336">
        <f t="shared" si="152"/>
        <v>4.2146342031056276</v>
      </c>
      <c r="R272" s="692">
        <f t="shared" si="138"/>
        <v>0.16687130810754652</v>
      </c>
      <c r="S272" s="329">
        <f t="shared" si="139"/>
        <v>0.99776580795099201</v>
      </c>
      <c r="T272" s="330">
        <f t="shared" si="140"/>
        <v>0.10037758115436274</v>
      </c>
      <c r="U272" s="331">
        <f t="shared" si="141"/>
        <v>7.7328397261148201</v>
      </c>
      <c r="V272" s="332">
        <f t="shared" si="142"/>
        <v>-118.34920044489218</v>
      </c>
      <c r="W272" s="334">
        <f t="shared" si="143"/>
        <v>61.650799555107824</v>
      </c>
      <c r="Y272" s="307">
        <f t="shared" si="144"/>
        <v>1000000000</v>
      </c>
      <c r="Z272" s="307">
        <f t="shared" si="145"/>
        <v>298563841</v>
      </c>
      <c r="AB272" s="333">
        <f t="shared" si="146"/>
        <v>34.853437167257468</v>
      </c>
      <c r="AC272" s="334">
        <f t="shared" si="147"/>
        <v>-22.813686762078547</v>
      </c>
      <c r="AE272" s="333">
        <f t="shared" si="148"/>
        <v>-2.6277645374779226</v>
      </c>
      <c r="AF272" s="334">
        <f t="shared" si="149"/>
        <v>-91.708186951064874</v>
      </c>
      <c r="AH272">
        <f t="shared" si="150"/>
        <v>0</v>
      </c>
      <c r="AI272">
        <f t="shared" si="125"/>
        <v>0</v>
      </c>
    </row>
    <row r="273" spans="1:35" x14ac:dyDescent="0.25">
      <c r="A273" s="335">
        <v>17378</v>
      </c>
      <c r="B273" s="352">
        <f t="shared" si="151"/>
        <v>17.378</v>
      </c>
      <c r="C273" s="325">
        <f t="shared" si="126"/>
        <v>37.028067001432348</v>
      </c>
      <c r="D273" s="326">
        <f t="shared" si="127"/>
        <v>1.5437865020922152</v>
      </c>
      <c r="E273" s="326">
        <f t="shared" si="128"/>
        <v>1.0009533279922844</v>
      </c>
      <c r="F273" s="327">
        <f t="shared" si="129"/>
        <v>4.3647938004177857E-2</v>
      </c>
      <c r="G273" s="326">
        <f t="shared" si="130"/>
        <v>1</v>
      </c>
      <c r="H273" s="327">
        <f t="shared" si="131"/>
        <v>0</v>
      </c>
      <c r="I273" s="325">
        <f t="shared" si="132"/>
        <v>5734.3049376458093</v>
      </c>
      <c r="J273" s="328">
        <f t="shared" si="133"/>
        <v>1.5706219377423536</v>
      </c>
      <c r="K273" s="336">
        <f t="shared" si="123"/>
        <v>4.1773991826045727</v>
      </c>
      <c r="L273" s="337">
        <f t="shared" si="124"/>
        <v>1.3290655947516632</v>
      </c>
      <c r="M273" s="325">
        <f t="shared" si="134"/>
        <v>1.0123185404112198</v>
      </c>
      <c r="N273" s="337">
        <f t="shared" si="135"/>
        <v>0.15616273704980385</v>
      </c>
      <c r="O273" s="343">
        <f t="shared" si="136"/>
        <v>1.0050858034197827</v>
      </c>
      <c r="P273" s="691">
        <f t="shared" si="137"/>
        <v>0.10064136380747594</v>
      </c>
      <c r="Q273" s="336">
        <f t="shared" si="152"/>
        <v>4.2152968677487941</v>
      </c>
      <c r="R273" s="692">
        <f t="shared" si="138"/>
        <v>0.16780981478082513</v>
      </c>
      <c r="S273" s="329">
        <f t="shared" si="139"/>
        <v>0.99774041066870955</v>
      </c>
      <c r="T273" s="330">
        <f t="shared" si="140"/>
        <v>0.10095722904142049</v>
      </c>
      <c r="U273" s="331">
        <f t="shared" si="141"/>
        <v>7.6786472182682877</v>
      </c>
      <c r="V273" s="332">
        <f t="shared" si="142"/>
        <v>-118.37212515307937</v>
      </c>
      <c r="W273" s="334">
        <f t="shared" si="143"/>
        <v>61.627874846920633</v>
      </c>
      <c r="Y273" s="307">
        <f t="shared" si="144"/>
        <v>1000000000</v>
      </c>
      <c r="Z273" s="307">
        <f t="shared" si="145"/>
        <v>301994884</v>
      </c>
      <c r="AB273" s="333">
        <f t="shared" si="146"/>
        <v>34.849384449482891</v>
      </c>
      <c r="AC273" s="334">
        <f t="shared" si="147"/>
        <v>-22.78762474418475</v>
      </c>
      <c r="AE273" s="333">
        <f t="shared" si="148"/>
        <v>-2.6770368635105593</v>
      </c>
      <c r="AF273" s="334">
        <f t="shared" si="149"/>
        <v>-91.736031647292776</v>
      </c>
      <c r="AH273">
        <f t="shared" si="150"/>
        <v>0</v>
      </c>
      <c r="AI273">
        <f t="shared" si="125"/>
        <v>0</v>
      </c>
    </row>
    <row r="274" spans="1:35" x14ac:dyDescent="0.25">
      <c r="A274" s="335">
        <v>17479.25</v>
      </c>
      <c r="B274" s="352">
        <f t="shared" si="151"/>
        <v>17.47925</v>
      </c>
      <c r="C274" s="325">
        <f t="shared" si="126"/>
        <v>37.243647924758207</v>
      </c>
      <c r="D274" s="326">
        <f t="shared" si="127"/>
        <v>1.5439428833109645</v>
      </c>
      <c r="E274" s="326">
        <f t="shared" si="128"/>
        <v>1.0009644637976642</v>
      </c>
      <c r="F274" s="327">
        <f t="shared" si="129"/>
        <v>4.3901919694040524E-2</v>
      </c>
      <c r="G274" s="326">
        <f t="shared" si="130"/>
        <v>1</v>
      </c>
      <c r="H274" s="327">
        <f t="shared" si="131"/>
        <v>0</v>
      </c>
      <c r="I274" s="325">
        <f t="shared" si="132"/>
        <v>5767.7149018149248</v>
      </c>
      <c r="J274" s="328">
        <f t="shared" si="133"/>
        <v>1.5706229479053306</v>
      </c>
      <c r="K274" s="336">
        <f t="shared" si="123"/>
        <v>4.2003471798855756</v>
      </c>
      <c r="L274" s="337">
        <f t="shared" si="124"/>
        <v>1.330412372460307</v>
      </c>
      <c r="M274" s="325">
        <f t="shared" si="134"/>
        <v>1.0124616163725022</v>
      </c>
      <c r="N274" s="337">
        <f t="shared" si="135"/>
        <v>0.15705774631055933</v>
      </c>
      <c r="O274" s="343">
        <f t="shared" si="136"/>
        <v>1.0051450871000802</v>
      </c>
      <c r="P274" s="691">
        <f t="shared" si="137"/>
        <v>0.10122374807748741</v>
      </c>
      <c r="Q274" s="336">
        <f t="shared" si="152"/>
        <v>4.2159784002179537</v>
      </c>
      <c r="R274" s="692">
        <f t="shared" si="138"/>
        <v>0.16876934640933108</v>
      </c>
      <c r="S274" s="329">
        <f t="shared" si="139"/>
        <v>0.99771429269115586</v>
      </c>
      <c r="T274" s="330">
        <f t="shared" si="140"/>
        <v>0.10155013113480962</v>
      </c>
      <c r="U274" s="331">
        <f t="shared" si="141"/>
        <v>7.6235525445739674</v>
      </c>
      <c r="V274" s="332">
        <f t="shared" si="142"/>
        <v>-118.39628625023963</v>
      </c>
      <c r="W274" s="334">
        <f t="shared" si="143"/>
        <v>61.603713749760374</v>
      </c>
      <c r="Y274" s="307">
        <f t="shared" si="144"/>
        <v>1000000000</v>
      </c>
      <c r="Z274" s="307">
        <f t="shared" si="145"/>
        <v>305524180.5625</v>
      </c>
      <c r="AB274" s="333">
        <f t="shared" si="146"/>
        <v>34.845281118063355</v>
      </c>
      <c r="AC274" s="334">
        <f t="shared" si="147"/>
        <v>-22.761798196849274</v>
      </c>
      <c r="AE274" s="333">
        <f t="shared" si="148"/>
        <v>-2.7271362887292874</v>
      </c>
      <c r="AF274" s="334">
        <f t="shared" si="149"/>
        <v>-91.764410339867595</v>
      </c>
      <c r="AH274">
        <f t="shared" si="150"/>
        <v>0</v>
      </c>
      <c r="AI274">
        <f t="shared" si="125"/>
        <v>0</v>
      </c>
    </row>
    <row r="275" spans="1:35" x14ac:dyDescent="0.25">
      <c r="A275" s="335">
        <v>17580.5</v>
      </c>
      <c r="B275" s="352">
        <f t="shared" si="151"/>
        <v>17.580500000000001</v>
      </c>
      <c r="C275" s="325">
        <f t="shared" si="126"/>
        <v>37.459229748397227</v>
      </c>
      <c r="D275" s="326">
        <f t="shared" si="127"/>
        <v>1.5440974645525964</v>
      </c>
      <c r="E275" s="326">
        <f t="shared" si="128"/>
        <v>1.0009756641705185</v>
      </c>
      <c r="F275" s="327">
        <f t="shared" si="129"/>
        <v>4.4155895716452294E-2</v>
      </c>
      <c r="G275" s="326">
        <f t="shared" si="130"/>
        <v>1</v>
      </c>
      <c r="H275" s="327">
        <f t="shared" si="131"/>
        <v>0</v>
      </c>
      <c r="I275" s="325">
        <f t="shared" si="132"/>
        <v>5801.1248659898565</v>
      </c>
      <c r="J275" s="328">
        <f t="shared" si="133"/>
        <v>1.5706239464328025</v>
      </c>
      <c r="K275" s="336">
        <f t="shared" si="123"/>
        <v>4.2233027129969702</v>
      </c>
      <c r="L275" s="337">
        <f t="shared" si="124"/>
        <v>1.3317445118888056</v>
      </c>
      <c r="M275" s="325">
        <f t="shared" si="134"/>
        <v>1.0126055031280685</v>
      </c>
      <c r="N275" s="337">
        <f t="shared" si="135"/>
        <v>0.15795250193418087</v>
      </c>
      <c r="O275" s="343">
        <f t="shared" si="136"/>
        <v>1.0052047116566027</v>
      </c>
      <c r="P275" s="691">
        <f t="shared" si="137"/>
        <v>0.10180606345576594</v>
      </c>
      <c r="Q275" s="336">
        <f t="shared" si="152"/>
        <v>4.2166637808783776</v>
      </c>
      <c r="R275" s="692">
        <f t="shared" si="138"/>
        <v>0.16972856828866997</v>
      </c>
      <c r="S275" s="329">
        <f t="shared" si="139"/>
        <v>0.99768802973338411</v>
      </c>
      <c r="T275" s="330">
        <f t="shared" si="140"/>
        <v>0.10214311499207132</v>
      </c>
      <c r="U275" s="331">
        <f t="shared" si="141"/>
        <v>7.5687866408273905</v>
      </c>
      <c r="V275" s="332">
        <f t="shared" si="142"/>
        <v>-118.42115893830902</v>
      </c>
      <c r="W275" s="334">
        <f t="shared" si="143"/>
        <v>61.57884106169098</v>
      </c>
      <c r="Y275" s="307">
        <f t="shared" si="144"/>
        <v>1000000000</v>
      </c>
      <c r="Z275" s="307">
        <f t="shared" si="145"/>
        <v>309073980.25</v>
      </c>
      <c r="AB275" s="333">
        <f t="shared" si="146"/>
        <v>34.84121869258805</v>
      </c>
      <c r="AC275" s="334">
        <f t="shared" si="147"/>
        <v>-22.736795162183743</v>
      </c>
      <c r="AE275" s="333">
        <f t="shared" si="148"/>
        <v>-2.7769430653160483</v>
      </c>
      <c r="AF275" s="334">
        <f t="shared" si="149"/>
        <v>-91.792690910796068</v>
      </c>
      <c r="AH275">
        <f t="shared" si="150"/>
        <v>0</v>
      </c>
      <c r="AI275">
        <f t="shared" si="125"/>
        <v>0</v>
      </c>
    </row>
    <row r="276" spans="1:35" x14ac:dyDescent="0.25">
      <c r="A276" s="335">
        <v>17681.75</v>
      </c>
      <c r="B276" s="352">
        <f t="shared" si="151"/>
        <v>17.681750000000001</v>
      </c>
      <c r="C276" s="325">
        <f t="shared" si="126"/>
        <v>37.674812456894173</v>
      </c>
      <c r="D276" s="326">
        <f t="shared" si="127"/>
        <v>1.5442502767091313</v>
      </c>
      <c r="E276" s="326">
        <f t="shared" si="128"/>
        <v>1.0009869291086793</v>
      </c>
      <c r="F276" s="327">
        <f t="shared" si="129"/>
        <v>4.4409866038839133E-2</v>
      </c>
      <c r="G276" s="326">
        <f t="shared" si="130"/>
        <v>1</v>
      </c>
      <c r="H276" s="327">
        <f t="shared" si="131"/>
        <v>0</v>
      </c>
      <c r="I276" s="325">
        <f t="shared" si="132"/>
        <v>5834.534830170508</v>
      </c>
      <c r="J276" s="328">
        <f t="shared" si="133"/>
        <v>1.5706249335246525</v>
      </c>
      <c r="K276" s="336">
        <f t="shared" si="123"/>
        <v>4.2462656597214865</v>
      </c>
      <c r="L276" s="337">
        <f t="shared" si="124"/>
        <v>1.3330622457529833</v>
      </c>
      <c r="M276" s="325">
        <f t="shared" si="134"/>
        <v>1.0127502003323372</v>
      </c>
      <c r="N276" s="337">
        <f t="shared" si="135"/>
        <v>0.15884700259642126</v>
      </c>
      <c r="O276" s="343">
        <f t="shared" si="136"/>
        <v>1.0052646770286955</v>
      </c>
      <c r="P276" s="691">
        <f t="shared" si="137"/>
        <v>0.10238830955968918</v>
      </c>
      <c r="Q276" s="336">
        <f t="shared" si="152"/>
        <v>4.2173530078540349</v>
      </c>
      <c r="R276" s="692">
        <f t="shared" si="138"/>
        <v>0.17068747882709534</v>
      </c>
      <c r="S276" s="329">
        <f t="shared" si="139"/>
        <v>0.9976616219132296</v>
      </c>
      <c r="T276" s="330">
        <f t="shared" si="140"/>
        <v>0.10273618108659426</v>
      </c>
      <c r="U276" s="331">
        <f t="shared" si="141"/>
        <v>7.5143451465515412</v>
      </c>
      <c r="V276" s="332">
        <f t="shared" si="142"/>
        <v>-118.44673154892595</v>
      </c>
      <c r="W276" s="334">
        <f t="shared" si="143"/>
        <v>61.553268451074047</v>
      </c>
      <c r="Y276" s="307">
        <f t="shared" si="144"/>
        <v>1000000000</v>
      </c>
      <c r="Z276" s="307">
        <f t="shared" si="145"/>
        <v>312644283.0625</v>
      </c>
      <c r="AB276" s="333">
        <f t="shared" si="146"/>
        <v>34.837196140005481</v>
      </c>
      <c r="AC276" s="334">
        <f t="shared" si="147"/>
        <v>-22.712602242132277</v>
      </c>
      <c r="AE276" s="333">
        <f t="shared" si="148"/>
        <v>-2.8264605273068719</v>
      </c>
      <c r="AF276" s="334">
        <f t="shared" si="149"/>
        <v>-91.820875159050146</v>
      </c>
      <c r="AH276">
        <f t="shared" si="150"/>
        <v>0</v>
      </c>
      <c r="AI276">
        <f t="shared" si="125"/>
        <v>0</v>
      </c>
    </row>
    <row r="277" spans="1:35" x14ac:dyDescent="0.25">
      <c r="A277" s="335">
        <v>17783</v>
      </c>
      <c r="B277" s="352">
        <f t="shared" si="151"/>
        <v>17.783000000000001</v>
      </c>
      <c r="C277" s="325">
        <f t="shared" si="126"/>
        <v>37.890396035145457</v>
      </c>
      <c r="D277" s="326">
        <f t="shared" si="127"/>
        <v>1.5444013499698639</v>
      </c>
      <c r="E277" s="326">
        <f t="shared" si="128"/>
        <v>1.0009982586099668</v>
      </c>
      <c r="F277" s="327">
        <f t="shared" si="129"/>
        <v>4.4663830628631385E-2</v>
      </c>
      <c r="G277" s="326">
        <f t="shared" si="130"/>
        <v>1</v>
      </c>
      <c r="H277" s="327">
        <f t="shared" si="131"/>
        <v>0</v>
      </c>
      <c r="I277" s="325">
        <f t="shared" si="132"/>
        <v>5867.9447943567793</v>
      </c>
      <c r="J277" s="328">
        <f t="shared" si="133"/>
        <v>1.5706259093762116</v>
      </c>
      <c r="K277" s="336">
        <f t="shared" si="123"/>
        <v>4.2692359004322835</v>
      </c>
      <c r="L277" s="337">
        <f t="shared" si="124"/>
        <v>1.3343658019627853</v>
      </c>
      <c r="M277" s="325">
        <f t="shared" si="134"/>
        <v>1.0128957076379781</v>
      </c>
      <c r="N277" s="337">
        <f t="shared" si="135"/>
        <v>0.15974124697541991</v>
      </c>
      <c r="O277" s="343">
        <f t="shared" si="136"/>
        <v>1.0053249831553719</v>
      </c>
      <c r="P277" s="691">
        <f t="shared" si="137"/>
        <v>0.10297048600691368</v>
      </c>
      <c r="Q277" s="336">
        <f t="shared" si="152"/>
        <v>4.2180460792596017</v>
      </c>
      <c r="R277" s="692">
        <f t="shared" si="138"/>
        <v>0.1716460764361693</v>
      </c>
      <c r="S277" s="329">
        <f t="shared" si="139"/>
        <v>0.99763506934922364</v>
      </c>
      <c r="T277" s="330">
        <f t="shared" si="140"/>
        <v>0.10332932989175922</v>
      </c>
      <c r="U277" s="331">
        <f t="shared" si="141"/>
        <v>7.4602237861388261</v>
      </c>
      <c r="V277" s="332">
        <f t="shared" si="142"/>
        <v>-118.47299264887093</v>
      </c>
      <c r="W277" s="334">
        <f t="shared" si="143"/>
        <v>61.527007351129072</v>
      </c>
      <c r="Y277" s="307">
        <f t="shared" si="144"/>
        <v>1000000000</v>
      </c>
      <c r="Z277" s="307">
        <f t="shared" si="145"/>
        <v>316235089</v>
      </c>
      <c r="AB277" s="333">
        <f t="shared" si="146"/>
        <v>34.833212455175698</v>
      </c>
      <c r="AC277" s="334">
        <f t="shared" si="147"/>
        <v>-22.689206313871498</v>
      </c>
      <c r="AE277" s="333">
        <f t="shared" si="148"/>
        <v>-2.8756919518100883</v>
      </c>
      <c r="AF277" s="334">
        <f t="shared" si="149"/>
        <v>-91.848964843337811</v>
      </c>
      <c r="AH277">
        <f t="shared" si="150"/>
        <v>0</v>
      </c>
      <c r="AI277">
        <f t="shared" si="125"/>
        <v>0</v>
      </c>
    </row>
    <row r="278" spans="1:35" x14ac:dyDescent="0.25">
      <c r="A278" s="335">
        <v>17886.5</v>
      </c>
      <c r="B278" s="352">
        <f t="shared" si="151"/>
        <v>17.886500000000002</v>
      </c>
      <c r="C278" s="325">
        <f t="shared" si="126"/>
        <v>38.110771243172408</v>
      </c>
      <c r="D278" s="326">
        <f t="shared" si="127"/>
        <v>1.5445540138451279</v>
      </c>
      <c r="E278" s="326">
        <f t="shared" si="128"/>
        <v>1.0010099066068396</v>
      </c>
      <c r="F278" s="327">
        <f t="shared" si="129"/>
        <v>4.4923432916969999E-2</v>
      </c>
      <c r="G278" s="326">
        <f t="shared" si="130"/>
        <v>1</v>
      </c>
      <c r="H278" s="327">
        <f t="shared" si="131"/>
        <v>0</v>
      </c>
      <c r="I278" s="325">
        <f t="shared" si="132"/>
        <v>5902.097202197343</v>
      </c>
      <c r="J278" s="328">
        <f t="shared" si="133"/>
        <v>1.5706268954943732</v>
      </c>
      <c r="K278" s="336">
        <f t="shared" si="123"/>
        <v>4.2927240079385012</v>
      </c>
      <c r="L278" s="337">
        <f t="shared" si="124"/>
        <v>1.3356839047480289</v>
      </c>
      <c r="M278" s="325">
        <f t="shared" si="134"/>
        <v>1.0130452853805973</v>
      </c>
      <c r="N278" s="337">
        <f t="shared" si="135"/>
        <v>0.16065509718857365</v>
      </c>
      <c r="O278" s="343">
        <f t="shared" si="136"/>
        <v>1.0053869815515546</v>
      </c>
      <c r="P278" s="691">
        <f t="shared" si="137"/>
        <v>0.10356552731491669</v>
      </c>
      <c r="Q278" s="336">
        <f t="shared" si="152"/>
        <v>4.2187585238059917</v>
      </c>
      <c r="R278" s="692">
        <f t="shared" si="138"/>
        <v>0.17262565112627659</v>
      </c>
      <c r="S278" s="329">
        <f t="shared" si="139"/>
        <v>0.99760777724800209</v>
      </c>
      <c r="T278" s="330">
        <f t="shared" si="140"/>
        <v>0.10393574576246213</v>
      </c>
      <c r="U278" s="331">
        <f t="shared" si="141"/>
        <v>7.4052262475213562</v>
      </c>
      <c r="V278" s="332">
        <f t="shared" si="142"/>
        <v>-118.50053727323356</v>
      </c>
      <c r="W278" s="334">
        <f t="shared" si="143"/>
        <v>61.499462726766438</v>
      </c>
      <c r="Y278" s="307">
        <f t="shared" si="144"/>
        <v>1000000000</v>
      </c>
      <c r="Z278" s="307">
        <f t="shared" si="145"/>
        <v>319926882.25</v>
      </c>
      <c r="AB278" s="333">
        <f t="shared" si="146"/>
        <v>34.829179398662717</v>
      </c>
      <c r="AC278" s="334">
        <f t="shared" si="147"/>
        <v>-22.666100848015802</v>
      </c>
      <c r="AE278" s="333">
        <f t="shared" si="148"/>
        <v>-2.9257251192667528</v>
      </c>
      <c r="AF278" s="334">
        <f t="shared" si="149"/>
        <v>-91.87758279365454</v>
      </c>
      <c r="AH278">
        <f t="shared" si="150"/>
        <v>0</v>
      </c>
      <c r="AI278">
        <f t="shared" si="125"/>
        <v>0</v>
      </c>
    </row>
    <row r="279" spans="1:35" x14ac:dyDescent="0.25">
      <c r="A279" s="335">
        <v>17990</v>
      </c>
      <c r="B279" s="352">
        <f t="shared" si="151"/>
        <v>17.989999999999998</v>
      </c>
      <c r="C279" s="325">
        <f t="shared" si="126"/>
        <v>38.331147329205663</v>
      </c>
      <c r="D279" s="326">
        <f t="shared" si="127"/>
        <v>1.5447049223124329</v>
      </c>
      <c r="E279" s="326">
        <f t="shared" si="128"/>
        <v>1.0010216220635491</v>
      </c>
      <c r="F279" s="327">
        <f t="shared" si="129"/>
        <v>4.5183029146292478E-2</v>
      </c>
      <c r="G279" s="326">
        <f t="shared" si="130"/>
        <v>1</v>
      </c>
      <c r="H279" s="327">
        <f t="shared" si="131"/>
        <v>0</v>
      </c>
      <c r="I279" s="325">
        <f t="shared" si="132"/>
        <v>5936.2496100435819</v>
      </c>
      <c r="J279" s="328">
        <f t="shared" si="133"/>
        <v>1.5706278702658723</v>
      </c>
      <c r="K279" s="336">
        <f t="shared" ref="K279:K342" si="153">SQRT(1+(A279/Zero2)^2)</f>
        <v>4.316219492422273</v>
      </c>
      <c r="L279" s="337">
        <f t="shared" ref="L279:L342" si="154">ATAN(A279/Zero2)</f>
        <v>1.3369876595051304</v>
      </c>
      <c r="M279" s="325">
        <f t="shared" si="134"/>
        <v>1.0131957088896302</v>
      </c>
      <c r="N279" s="337">
        <f t="shared" si="135"/>
        <v>0.16156867681601361</v>
      </c>
      <c r="O279" s="343">
        <f t="shared" si="136"/>
        <v>1.0054493358853116</v>
      </c>
      <c r="P279" s="691">
        <f t="shared" si="137"/>
        <v>0.10416049502893822</v>
      </c>
      <c r="Q279" s="336">
        <f t="shared" si="152"/>
        <v>4.2194749815308246</v>
      </c>
      <c r="R279" s="692">
        <f t="shared" si="138"/>
        <v>0.17360489547864039</v>
      </c>
      <c r="S279" s="329">
        <f t="shared" si="139"/>
        <v>0.99758033415108538</v>
      </c>
      <c r="T279" s="330">
        <f t="shared" si="140"/>
        <v>0.10454224906095429</v>
      </c>
      <c r="U279" s="331">
        <f t="shared" si="141"/>
        <v>7.3505544563288758</v>
      </c>
      <c r="V279" s="332">
        <f t="shared" si="142"/>
        <v>-118.52877789411666</v>
      </c>
      <c r="W279" s="334">
        <f t="shared" si="143"/>
        <v>61.471222105883342</v>
      </c>
      <c r="Y279" s="307">
        <f t="shared" si="144"/>
        <v>1000000000</v>
      </c>
      <c r="Z279" s="307">
        <f t="shared" si="145"/>
        <v>323640100</v>
      </c>
      <c r="AB279" s="333">
        <f t="shared" si="146"/>
        <v>34.825184918063385</v>
      </c>
      <c r="AC279" s="334">
        <f t="shared" si="147"/>
        <v>-22.643801310082633</v>
      </c>
      <c r="AE279" s="333">
        <f t="shared" si="148"/>
        <v>-2.9754661435458489</v>
      </c>
      <c r="AF279" s="334">
        <f t="shared" si="149"/>
        <v>-91.906105522903175</v>
      </c>
      <c r="AH279">
        <f t="shared" si="150"/>
        <v>0</v>
      </c>
      <c r="AI279">
        <f t="shared" si="125"/>
        <v>0</v>
      </c>
    </row>
    <row r="280" spans="1:35" x14ac:dyDescent="0.25">
      <c r="A280" s="335">
        <v>18093.5</v>
      </c>
      <c r="B280" s="352">
        <f t="shared" si="151"/>
        <v>18.093499999999999</v>
      </c>
      <c r="C280" s="325">
        <f t="shared" si="126"/>
        <v>38.551524278188097</v>
      </c>
      <c r="D280" s="326">
        <f t="shared" si="127"/>
        <v>1.544854105468827</v>
      </c>
      <c r="E280" s="326">
        <f t="shared" si="128"/>
        <v>1.0010334049777263</v>
      </c>
      <c r="F280" s="327">
        <f t="shared" si="129"/>
        <v>4.54426192818237E-2</v>
      </c>
      <c r="G280" s="326">
        <f t="shared" si="130"/>
        <v>1</v>
      </c>
      <c r="H280" s="327">
        <f t="shared" si="131"/>
        <v>0</v>
      </c>
      <c r="I280" s="325">
        <f t="shared" si="132"/>
        <v>5970.4020178953951</v>
      </c>
      <c r="J280" s="328">
        <f t="shared" si="133"/>
        <v>1.5706288338854277</v>
      </c>
      <c r="K280" s="336">
        <f t="shared" si="153"/>
        <v>4.3397222340655688</v>
      </c>
      <c r="L280" s="337">
        <f t="shared" si="154"/>
        <v>1.3382772948804513</v>
      </c>
      <c r="M280" s="325">
        <f t="shared" si="134"/>
        <v>1.0133469777884336</v>
      </c>
      <c r="N280" s="337">
        <f t="shared" si="135"/>
        <v>0.16248198445358214</v>
      </c>
      <c r="O280" s="343">
        <f t="shared" si="136"/>
        <v>1.0055120460904252</v>
      </c>
      <c r="P280" s="691">
        <f t="shared" si="137"/>
        <v>0.1047553887414877</v>
      </c>
      <c r="Q280" s="336">
        <f t="shared" si="152"/>
        <v>4.2201954503903067</v>
      </c>
      <c r="R280" s="692">
        <f t="shared" si="138"/>
        <v>0.17458380780736463</v>
      </c>
      <c r="S280" s="329">
        <f t="shared" si="139"/>
        <v>0.99755274018734064</v>
      </c>
      <c r="T280" s="330">
        <f t="shared" si="140"/>
        <v>0.10514884029285522</v>
      </c>
      <c r="U280" s="331">
        <f t="shared" si="141"/>
        <v>7.2962041066011984</v>
      </c>
      <c r="V280" s="332">
        <f t="shared" si="142"/>
        <v>-118.55770302390188</v>
      </c>
      <c r="W280" s="334">
        <f t="shared" si="143"/>
        <v>61.44229697609812</v>
      </c>
      <c r="Y280" s="307">
        <f t="shared" si="144"/>
        <v>1000000000</v>
      </c>
      <c r="Z280" s="307">
        <f t="shared" si="145"/>
        <v>327374742.25</v>
      </c>
      <c r="AB280" s="333">
        <f t="shared" si="146"/>
        <v>34.82122802451687</v>
      </c>
      <c r="AC280" s="334">
        <f t="shared" si="147"/>
        <v>-22.622294530304721</v>
      </c>
      <c r="AE280" s="333">
        <f t="shared" si="148"/>
        <v>-3.0249183489371001</v>
      </c>
      <c r="AF280" s="334">
        <f t="shared" si="149"/>
        <v>-91.934534786479873</v>
      </c>
      <c r="AH280">
        <f t="shared" si="150"/>
        <v>0</v>
      </c>
      <c r="AI280">
        <f t="shared" si="125"/>
        <v>0</v>
      </c>
    </row>
    <row r="281" spans="1:35" x14ac:dyDescent="0.25">
      <c r="A281" s="335">
        <v>18197</v>
      </c>
      <c r="B281" s="352">
        <f t="shared" si="151"/>
        <v>18.196999999999999</v>
      </c>
      <c r="C281" s="325">
        <f t="shared" si="126"/>
        <v>38.771902075404874</v>
      </c>
      <c r="D281" s="326">
        <f t="shared" si="127"/>
        <v>1.5450015927273881</v>
      </c>
      <c r="E281" s="326">
        <f t="shared" si="128"/>
        <v>1.0010452553469895</v>
      </c>
      <c r="F281" s="327">
        <f t="shared" si="129"/>
        <v>4.5702203288793437E-2</v>
      </c>
      <c r="G281" s="326">
        <f t="shared" si="130"/>
        <v>1</v>
      </c>
      <c r="H281" s="327">
        <f t="shared" si="131"/>
        <v>0</v>
      </c>
      <c r="I281" s="325">
        <f t="shared" si="132"/>
        <v>6004.5544257526899</v>
      </c>
      <c r="J281" s="328">
        <f t="shared" si="133"/>
        <v>1.5706297865433279</v>
      </c>
      <c r="K281" s="336">
        <f t="shared" si="153"/>
        <v>4.36323211559536</v>
      </c>
      <c r="L281" s="337">
        <f t="shared" si="154"/>
        <v>1.3395530347825555</v>
      </c>
      <c r="M281" s="325">
        <f t="shared" si="134"/>
        <v>1.0134990916984743</v>
      </c>
      <c r="N281" s="337">
        <f t="shared" si="135"/>
        <v>0.16339501869977255</v>
      </c>
      <c r="O281" s="343">
        <f t="shared" si="136"/>
        <v>1.0055751121003162</v>
      </c>
      <c r="P281" s="691">
        <f t="shared" si="137"/>
        <v>0.10535020804538542</v>
      </c>
      <c r="Q281" s="336">
        <f t="shared" si="152"/>
        <v>4.2209199283305994</v>
      </c>
      <c r="R281" s="692">
        <f t="shared" si="138"/>
        <v>0.17556238643022545</v>
      </c>
      <c r="S281" s="329">
        <f t="shared" si="139"/>
        <v>0.99752499548639673</v>
      </c>
      <c r="T281" s="330">
        <f t="shared" si="140"/>
        <v>0.10575551996377518</v>
      </c>
      <c r="U281" s="331">
        <f t="shared" si="141"/>
        <v>7.242170975896844</v>
      </c>
      <c r="V281" s="332">
        <f t="shared" si="142"/>
        <v>-118.58730140732779</v>
      </c>
      <c r="W281" s="334">
        <f t="shared" si="143"/>
        <v>61.412698592672214</v>
      </c>
      <c r="Y281" s="307">
        <f t="shared" si="144"/>
        <v>1000000000</v>
      </c>
      <c r="Z281" s="307">
        <f t="shared" si="145"/>
        <v>331130809</v>
      </c>
      <c r="AB281" s="333">
        <f t="shared" si="146"/>
        <v>34.817307755941179</v>
      </c>
      <c r="AC281" s="334">
        <f t="shared" si="147"/>
        <v>-22.601567610268656</v>
      </c>
      <c r="AE281" s="333">
        <f t="shared" si="148"/>
        <v>-3.0740850030227866</v>
      </c>
      <c r="AF281" s="334">
        <f t="shared" si="149"/>
        <v>-91.9628723005914</v>
      </c>
      <c r="AH281">
        <f t="shared" si="150"/>
        <v>0</v>
      </c>
      <c r="AI281">
        <f t="shared" si="125"/>
        <v>0</v>
      </c>
    </row>
    <row r="282" spans="1:35" x14ac:dyDescent="0.25">
      <c r="A282" s="335">
        <v>18303</v>
      </c>
      <c r="B282" s="352">
        <f t="shared" si="151"/>
        <v>18.303000000000001</v>
      </c>
      <c r="C282" s="325">
        <f t="shared" si="126"/>
        <v>38.997603872009542</v>
      </c>
      <c r="D282" s="326">
        <f t="shared" si="127"/>
        <v>1.5451509146762235</v>
      </c>
      <c r="E282" s="326">
        <f t="shared" si="128"/>
        <v>1.0010574618733419</v>
      </c>
      <c r="F282" s="327">
        <f t="shared" si="129"/>
        <v>4.5968051052135299E-2</v>
      </c>
      <c r="G282" s="326">
        <f t="shared" si="130"/>
        <v>1</v>
      </c>
      <c r="H282" s="327">
        <f t="shared" si="131"/>
        <v>0</v>
      </c>
      <c r="I282" s="325">
        <f t="shared" si="132"/>
        <v>6039.5317710034251</v>
      </c>
      <c r="J282" s="328">
        <f t="shared" si="133"/>
        <v>1.5706307510445761</v>
      </c>
      <c r="K282" s="336">
        <f t="shared" si="153"/>
        <v>4.3873171493909036</v>
      </c>
      <c r="L282" s="337">
        <f t="shared" si="154"/>
        <v>1.3408454157732428</v>
      </c>
      <c r="M282" s="325">
        <f t="shared" si="134"/>
        <v>1.0136557553341432</v>
      </c>
      <c r="N282" s="337">
        <f t="shared" si="135"/>
        <v>0.16432982207505234</v>
      </c>
      <c r="O282" s="343">
        <f t="shared" si="136"/>
        <v>1.0056400701738848</v>
      </c>
      <c r="P282" s="691">
        <f t="shared" si="137"/>
        <v>0.10595931741387424</v>
      </c>
      <c r="Q282" s="336">
        <f t="shared" si="152"/>
        <v>4.221666059088431</v>
      </c>
      <c r="R282" s="692">
        <f t="shared" si="138"/>
        <v>0.17656425457005617</v>
      </c>
      <c r="S282" s="329">
        <f t="shared" si="139"/>
        <v>0.99749642451717435</v>
      </c>
      <c r="T282" s="330">
        <f t="shared" si="140"/>
        <v>0.10637694593044408</v>
      </c>
      <c r="U282" s="331">
        <f t="shared" si="141"/>
        <v>7.1871571757550212</v>
      </c>
      <c r="V282" s="332">
        <f t="shared" si="142"/>
        <v>-118.61830104876199</v>
      </c>
      <c r="W282" s="334">
        <f t="shared" si="143"/>
        <v>61.381698951238008</v>
      </c>
      <c r="Y282" s="307">
        <f t="shared" si="144"/>
        <v>1000000000</v>
      </c>
      <c r="Z282" s="307">
        <f t="shared" si="145"/>
        <v>334999809</v>
      </c>
      <c r="AB282" s="333">
        <f t="shared" si="146"/>
        <v>34.813329779535813</v>
      </c>
      <c r="AC282" s="334">
        <f t="shared" si="147"/>
        <v>-22.581135183884967</v>
      </c>
      <c r="AE282" s="333">
        <f t="shared" si="148"/>
        <v>-3.1241466327204819</v>
      </c>
      <c r="AF282" s="334">
        <f t="shared" si="149"/>
        <v>-91.99180094841887</v>
      </c>
      <c r="AH282">
        <f t="shared" si="150"/>
        <v>0</v>
      </c>
      <c r="AI282">
        <f t="shared" ref="AI282:AI345" si="155">IF(AH282&gt;0,W282,0)</f>
        <v>0</v>
      </c>
    </row>
    <row r="283" spans="1:35" x14ac:dyDescent="0.25">
      <c r="A283" s="335">
        <v>18409</v>
      </c>
      <c r="B283" s="352">
        <f t="shared" si="151"/>
        <v>18.408999999999999</v>
      </c>
      <c r="C283" s="325">
        <f t="shared" si="126"/>
        <v>39.223306528138465</v>
      </c>
      <c r="D283" s="326">
        <f t="shared" si="127"/>
        <v>1.5452985181418648</v>
      </c>
      <c r="E283" s="326">
        <f t="shared" si="128"/>
        <v>1.0010697391477352</v>
      </c>
      <c r="F283" s="327">
        <f t="shared" si="129"/>
        <v>4.6233892313468784E-2</v>
      </c>
      <c r="G283" s="326">
        <f t="shared" si="130"/>
        <v>1</v>
      </c>
      <c r="H283" s="327">
        <f t="shared" si="131"/>
        <v>0</v>
      </c>
      <c r="I283" s="325">
        <f t="shared" si="132"/>
        <v>6074.5091162597146</v>
      </c>
      <c r="J283" s="328">
        <f t="shared" si="133"/>
        <v>1.5706317044385254</v>
      </c>
      <c r="K283" s="336">
        <f t="shared" si="153"/>
        <v>4.4114094310731984</v>
      </c>
      <c r="L283" s="337">
        <f t="shared" si="154"/>
        <v>1.3421236825716798</v>
      </c>
      <c r="M283" s="325">
        <f t="shared" si="134"/>
        <v>1.0138133044861324</v>
      </c>
      <c r="N283" s="337">
        <f t="shared" si="135"/>
        <v>0.16526433572513452</v>
      </c>
      <c r="O283" s="343">
        <f t="shared" si="136"/>
        <v>1.0057054013059437</v>
      </c>
      <c r="P283" s="691">
        <f t="shared" si="137"/>
        <v>0.10656834787219167</v>
      </c>
      <c r="Q283" s="336">
        <f t="shared" si="152"/>
        <v>4.222416390548843</v>
      </c>
      <c r="R283" s="692">
        <f t="shared" si="138"/>
        <v>0.17756576912857125</v>
      </c>
      <c r="S283" s="329">
        <f t="shared" si="139"/>
        <v>0.99746769571848126</v>
      </c>
      <c r="T283" s="330">
        <f t="shared" si="140"/>
        <v>0.10699846573358865</v>
      </c>
      <c r="U283" s="331">
        <f t="shared" si="141"/>
        <v>7.1324673988935423</v>
      </c>
      <c r="V283" s="332">
        <f t="shared" si="142"/>
        <v>-118.64998368705182</v>
      </c>
      <c r="W283" s="334">
        <f t="shared" si="143"/>
        <v>61.350016312948185</v>
      </c>
      <c r="Y283" s="307">
        <f t="shared" si="144"/>
        <v>1000000000</v>
      </c>
      <c r="Z283" s="307">
        <f t="shared" si="145"/>
        <v>338891281</v>
      </c>
      <c r="AB283" s="333">
        <f t="shared" si="146"/>
        <v>34.809388258619592</v>
      </c>
      <c r="AC283" s="334">
        <f t="shared" si="147"/>
        <v>-22.561494204716961</v>
      </c>
      <c r="AE283" s="333">
        <f t="shared" si="148"/>
        <v>-3.1739155104392305</v>
      </c>
      <c r="AF283" s="334">
        <f t="shared" si="149"/>
        <v>-92.020636883383716</v>
      </c>
      <c r="AH283">
        <f t="shared" si="150"/>
        <v>0</v>
      </c>
      <c r="AI283">
        <f t="shared" si="155"/>
        <v>0</v>
      </c>
    </row>
    <row r="284" spans="1:35" x14ac:dyDescent="0.25">
      <c r="A284" s="335">
        <v>18515</v>
      </c>
      <c r="B284" s="352">
        <f t="shared" si="151"/>
        <v>18.515000000000001</v>
      </c>
      <c r="C284" s="325">
        <f t="shared" si="126"/>
        <v>39.449010029038639</v>
      </c>
      <c r="D284" s="326">
        <f t="shared" si="127"/>
        <v>1.5454444326142054</v>
      </c>
      <c r="E284" s="326">
        <f t="shared" si="128"/>
        <v>1.001082087167567</v>
      </c>
      <c r="F284" s="327">
        <f t="shared" si="129"/>
        <v>4.6499727035458981E-2</v>
      </c>
      <c r="G284" s="326">
        <f t="shared" si="130"/>
        <v>1</v>
      </c>
      <c r="H284" s="327">
        <f t="shared" si="131"/>
        <v>0</v>
      </c>
      <c r="I284" s="325">
        <f t="shared" si="132"/>
        <v>6109.4864615214619</v>
      </c>
      <c r="J284" s="328">
        <f t="shared" si="133"/>
        <v>1.5706326469159471</v>
      </c>
      <c r="K284" s="336">
        <f t="shared" si="153"/>
        <v>4.4355088425375593</v>
      </c>
      <c r="L284" s="337">
        <f t="shared" si="154"/>
        <v>1.343388061025734</v>
      </c>
      <c r="M284" s="325">
        <f t="shared" si="134"/>
        <v>1.0139717387416722</v>
      </c>
      <c r="N284" s="337">
        <f t="shared" si="135"/>
        <v>0.1661985581532012</v>
      </c>
      <c r="O284" s="343">
        <f t="shared" si="136"/>
        <v>1.0057711054237959</v>
      </c>
      <c r="P284" s="691">
        <f t="shared" si="137"/>
        <v>0.10717729898395824</v>
      </c>
      <c r="Q284" s="336">
        <f t="shared" si="152"/>
        <v>4.2231709204729748</v>
      </c>
      <c r="R284" s="692">
        <f t="shared" si="138"/>
        <v>0.17856692831075155</v>
      </c>
      <c r="S284" s="329">
        <f t="shared" si="139"/>
        <v>0.99743880923205297</v>
      </c>
      <c r="T284" s="330">
        <f t="shared" si="140"/>
        <v>0.10762007991631818</v>
      </c>
      <c r="U284" s="331">
        <f t="shared" si="141"/>
        <v>7.078097368095186</v>
      </c>
      <c r="V284" s="332">
        <f t="shared" si="142"/>
        <v>-118.6823379522959</v>
      </c>
      <c r="W284" s="334">
        <f t="shared" si="143"/>
        <v>61.317662047704104</v>
      </c>
      <c r="Y284" s="307">
        <f t="shared" si="144"/>
        <v>1000000000</v>
      </c>
      <c r="Z284" s="307">
        <f t="shared" si="145"/>
        <v>342805225</v>
      </c>
      <c r="AB284" s="333">
        <f t="shared" si="146"/>
        <v>34.805482241572207</v>
      </c>
      <c r="AC284" s="334">
        <f t="shared" si="147"/>
        <v>-22.542631657804066</v>
      </c>
      <c r="AE284" s="333">
        <f t="shared" si="148"/>
        <v>-3.223394969639652</v>
      </c>
      <c r="AF284" s="334">
        <f t="shared" si="149"/>
        <v>-92.049381828389372</v>
      </c>
      <c r="AH284">
        <f t="shared" si="150"/>
        <v>0</v>
      </c>
      <c r="AI284">
        <f t="shared" si="155"/>
        <v>0</v>
      </c>
    </row>
    <row r="285" spans="1:35" x14ac:dyDescent="0.25">
      <c r="A285" s="335">
        <v>18621</v>
      </c>
      <c r="B285" s="352">
        <f t="shared" si="151"/>
        <v>18.620999999999999</v>
      </c>
      <c r="C285" s="325">
        <f t="shared" si="126"/>
        <v>39.674714360292739</v>
      </c>
      <c r="D285" s="326">
        <f t="shared" si="127"/>
        <v>1.5455886869123727</v>
      </c>
      <c r="E285" s="326">
        <f t="shared" si="128"/>
        <v>1.001094505930219</v>
      </c>
      <c r="F285" s="327">
        <f t="shared" si="129"/>
        <v>4.6765555180776498E-2</v>
      </c>
      <c r="G285" s="326">
        <f t="shared" si="130"/>
        <v>1</v>
      </c>
      <c r="H285" s="327">
        <f t="shared" si="131"/>
        <v>0</v>
      </c>
      <c r="I285" s="325">
        <f t="shared" si="132"/>
        <v>6144.4638067885744</v>
      </c>
      <c r="J285" s="328">
        <f t="shared" si="133"/>
        <v>1.5706335786632679</v>
      </c>
      <c r="K285" s="336">
        <f t="shared" si="153"/>
        <v>4.459615268197636</v>
      </c>
      <c r="L285" s="337">
        <f t="shared" si="154"/>
        <v>1.3446387722797928</v>
      </c>
      <c r="M285" s="325">
        <f t="shared" si="134"/>
        <v>1.0141310576859321</v>
      </c>
      <c r="N285" s="337">
        <f t="shared" si="135"/>
        <v>0.16713248786540047</v>
      </c>
      <c r="O285" s="343">
        <f t="shared" si="136"/>
        <v>1.0058371824543482</v>
      </c>
      <c r="P285" s="691">
        <f t="shared" si="137"/>
        <v>0.10778617031314355</v>
      </c>
      <c r="Q285" s="336">
        <f t="shared" si="152"/>
        <v>4.2239296466110421</v>
      </c>
      <c r="R285" s="692">
        <f t="shared" si="138"/>
        <v>0.17956773032568271</v>
      </c>
      <c r="S285" s="329">
        <f t="shared" si="139"/>
        <v>0.99740976520046409</v>
      </c>
      <c r="T285" s="330">
        <f t="shared" si="140"/>
        <v>0.10824178902173096</v>
      </c>
      <c r="U285" s="331">
        <f t="shared" si="141"/>
        <v>7.0240428889720627</v>
      </c>
      <c r="V285" s="332">
        <f t="shared" si="142"/>
        <v>-118.71535270578556</v>
      </c>
      <c r="W285" s="334">
        <f t="shared" si="143"/>
        <v>61.284647294214437</v>
      </c>
      <c r="Y285" s="307">
        <f t="shared" si="144"/>
        <v>1000000000</v>
      </c>
      <c r="Z285" s="307">
        <f t="shared" si="145"/>
        <v>346741641</v>
      </c>
      <c r="AB285" s="333">
        <f t="shared" si="146"/>
        <v>34.801610802651616</v>
      </c>
      <c r="AC285" s="334">
        <f t="shared" si="147"/>
        <v>-22.52453479759625</v>
      </c>
      <c r="AE285" s="333">
        <f t="shared" si="148"/>
        <v>-3.2725882868663407</v>
      </c>
      <c r="AF285" s="334">
        <f t="shared" si="149"/>
        <v>-92.078037467906242</v>
      </c>
      <c r="AH285">
        <f t="shared" si="150"/>
        <v>0</v>
      </c>
      <c r="AI285">
        <f t="shared" si="155"/>
        <v>0</v>
      </c>
    </row>
    <row r="286" spans="1:35" x14ac:dyDescent="0.25">
      <c r="A286" s="335">
        <v>18729.5</v>
      </c>
      <c r="B286" s="352">
        <f t="shared" si="151"/>
        <v>18.729500000000002</v>
      </c>
      <c r="C286" s="325">
        <f t="shared" si="126"/>
        <v>39.90574275216084</v>
      </c>
      <c r="D286" s="326">
        <f t="shared" si="127"/>
        <v>1.5457346534631278</v>
      </c>
      <c r="E286" s="326">
        <f t="shared" si="128"/>
        <v>1.0011072908506584</v>
      </c>
      <c r="F286" s="327">
        <f t="shared" si="129"/>
        <v>4.7037646007697595E-2</v>
      </c>
      <c r="G286" s="326">
        <f t="shared" si="130"/>
        <v>1</v>
      </c>
      <c r="H286" s="327">
        <f t="shared" si="131"/>
        <v>0</v>
      </c>
      <c r="I286" s="325">
        <f t="shared" si="132"/>
        <v>6180.2660894495239</v>
      </c>
      <c r="J286" s="328">
        <f t="shared" si="133"/>
        <v>1.5706345214632345</v>
      </c>
      <c r="K286" s="336">
        <f t="shared" si="153"/>
        <v>4.4842973878488985</v>
      </c>
      <c r="L286" s="337">
        <f t="shared" si="154"/>
        <v>1.3459050529476095</v>
      </c>
      <c r="M286" s="325">
        <f t="shared" si="134"/>
        <v>1.0142950499500294</v>
      </c>
      <c r="N286" s="337">
        <f t="shared" si="135"/>
        <v>0.16808813951281124</v>
      </c>
      <c r="O286" s="343">
        <f t="shared" si="136"/>
        <v>1.0059052040378038</v>
      </c>
      <c r="P286" s="691">
        <f t="shared" si="137"/>
        <v>0.1084093187331603</v>
      </c>
      <c r="Q286" s="336">
        <f t="shared" si="152"/>
        <v>4.2247106107057117</v>
      </c>
      <c r="R286" s="692">
        <f t="shared" si="138"/>
        <v>0.18059176439447611</v>
      </c>
      <c r="S286" s="329">
        <f t="shared" si="139"/>
        <v>0.9973798731553204</v>
      </c>
      <c r="T286" s="330">
        <f t="shared" si="140"/>
        <v>0.10887825995181317</v>
      </c>
      <c r="U286" s="331">
        <f t="shared" si="141"/>
        <v>6.9690360495271584</v>
      </c>
      <c r="V286" s="332">
        <f t="shared" si="142"/>
        <v>-118.74981875752066</v>
      </c>
      <c r="W286" s="334">
        <f t="shared" si="143"/>
        <v>61.250181242479343</v>
      </c>
      <c r="Y286" s="307">
        <f t="shared" si="144"/>
        <v>1000000000</v>
      </c>
      <c r="Z286" s="307">
        <f t="shared" si="145"/>
        <v>350794170.25</v>
      </c>
      <c r="AB286" s="333">
        <f t="shared" si="146"/>
        <v>34.797682927249689</v>
      </c>
      <c r="AC286" s="334">
        <f t="shared" si="147"/>
        <v>-22.506791084171436</v>
      </c>
      <c r="AE286" s="333">
        <f t="shared" si="148"/>
        <v>-3.3226488409837378</v>
      </c>
      <c r="AF286" s="334">
        <f t="shared" si="149"/>
        <v>-92.107278177297673</v>
      </c>
      <c r="AH286">
        <f t="shared" si="150"/>
        <v>0</v>
      </c>
      <c r="AI286">
        <f t="shared" si="155"/>
        <v>0</v>
      </c>
    </row>
    <row r="287" spans="1:35" x14ac:dyDescent="0.25">
      <c r="A287" s="335">
        <v>18838</v>
      </c>
      <c r="B287" s="352">
        <f t="shared" si="151"/>
        <v>18.838000000000001</v>
      </c>
      <c r="C287" s="325">
        <f t="shared" si="126"/>
        <v>40.136771984482003</v>
      </c>
      <c r="D287" s="326">
        <f t="shared" si="127"/>
        <v>1.5458789396356465</v>
      </c>
      <c r="E287" s="326">
        <f t="shared" si="128"/>
        <v>1.0011201498845961</v>
      </c>
      <c r="F287" s="327">
        <f t="shared" si="129"/>
        <v>4.7309729864940857E-2</v>
      </c>
      <c r="G287" s="326">
        <f t="shared" si="130"/>
        <v>1</v>
      </c>
      <c r="H287" s="327">
        <f t="shared" si="131"/>
        <v>0</v>
      </c>
      <c r="I287" s="325">
        <f t="shared" si="132"/>
        <v>6216.068372115903</v>
      </c>
      <c r="J287" s="328">
        <f t="shared" si="133"/>
        <v>1.5706354534028344</v>
      </c>
      <c r="K287" s="336">
        <f t="shared" si="153"/>
        <v>4.5089866191946424</v>
      </c>
      <c r="L287" s="337">
        <f t="shared" si="154"/>
        <v>1.3471574684112329</v>
      </c>
      <c r="M287" s="325">
        <f t="shared" si="134"/>
        <v>1.0144599682394562</v>
      </c>
      <c r="N287" s="337">
        <f t="shared" si="135"/>
        <v>0.16904348131654376</v>
      </c>
      <c r="O287" s="343">
        <f t="shared" si="136"/>
        <v>1.0059736161753738</v>
      </c>
      <c r="P287" s="691">
        <f t="shared" si="137"/>
        <v>0.10903238263956026</v>
      </c>
      <c r="Q287" s="336">
        <f t="shared" si="152"/>
        <v>4.2254959664782445</v>
      </c>
      <c r="R287" s="692">
        <f t="shared" si="138"/>
        <v>0.181615420466049</v>
      </c>
      <c r="S287" s="329">
        <f t="shared" si="139"/>
        <v>0.99734981635098097</v>
      </c>
      <c r="T287" s="330">
        <f t="shared" si="140"/>
        <v>0.10951483148628459</v>
      </c>
      <c r="U287" s="331">
        <f t="shared" si="141"/>
        <v>6.9143511858067672</v>
      </c>
      <c r="V287" s="332">
        <f t="shared" si="142"/>
        <v>-118.78495392153796</v>
      </c>
      <c r="W287" s="334">
        <f t="shared" si="143"/>
        <v>61.215046078462038</v>
      </c>
      <c r="Y287" s="307">
        <f t="shared" si="144"/>
        <v>1000000000</v>
      </c>
      <c r="Z287" s="307">
        <f t="shared" si="145"/>
        <v>354870244</v>
      </c>
      <c r="AB287" s="333">
        <f t="shared" si="146"/>
        <v>34.793789397060053</v>
      </c>
      <c r="AC287" s="334">
        <f t="shared" si="147"/>
        <v>-22.489823413441634</v>
      </c>
      <c r="AE287" s="333">
        <f t="shared" si="148"/>
        <v>-3.3724163663533635</v>
      </c>
      <c r="AF287" s="334">
        <f t="shared" si="149"/>
        <v>-92.136428771648113</v>
      </c>
      <c r="AH287">
        <f t="shared" si="150"/>
        <v>0</v>
      </c>
      <c r="AI287">
        <f t="shared" si="155"/>
        <v>0</v>
      </c>
    </row>
    <row r="288" spans="1:35" x14ac:dyDescent="0.25">
      <c r="A288" s="335">
        <v>18946.5</v>
      </c>
      <c r="B288" s="352">
        <f t="shared" si="151"/>
        <v>18.9465</v>
      </c>
      <c r="C288" s="325">
        <f t="shared" si="126"/>
        <v>40.367802042826213</v>
      </c>
      <c r="D288" s="326">
        <f t="shared" si="127"/>
        <v>1.546021574274923</v>
      </c>
      <c r="E288" s="326">
        <f t="shared" si="128"/>
        <v>1.0011330830291763</v>
      </c>
      <c r="F288" s="327">
        <f t="shared" si="129"/>
        <v>4.7581806712491091E-2</v>
      </c>
      <c r="G288" s="326">
        <f t="shared" si="130"/>
        <v>1</v>
      </c>
      <c r="H288" s="327">
        <f t="shared" si="131"/>
        <v>0</v>
      </c>
      <c r="I288" s="325">
        <f t="shared" si="132"/>
        <v>6251.87065478762</v>
      </c>
      <c r="J288" s="328">
        <f t="shared" si="133"/>
        <v>1.570636374668648</v>
      </c>
      <c r="K288" s="336">
        <f t="shared" si="153"/>
        <v>4.5336828460496772</v>
      </c>
      <c r="L288" s="337">
        <f t="shared" si="154"/>
        <v>1.3483962412921169</v>
      </c>
      <c r="M288" s="325">
        <f t="shared" si="134"/>
        <v>1.0146258121026608</v>
      </c>
      <c r="N288" s="337">
        <f t="shared" si="135"/>
        <v>0.16999851168427318</v>
      </c>
      <c r="O288" s="343">
        <f t="shared" si="136"/>
        <v>1.0060424187873835</v>
      </c>
      <c r="P288" s="691">
        <f t="shared" si="137"/>
        <v>0.10965536156587653</v>
      </c>
      <c r="Q288" s="336">
        <f t="shared" si="152"/>
        <v>4.2262857114805428</v>
      </c>
      <c r="R288" s="692">
        <f t="shared" si="138"/>
        <v>0.1826386966332274</v>
      </c>
      <c r="S288" s="329">
        <f t="shared" si="139"/>
        <v>0.99731959494308065</v>
      </c>
      <c r="T288" s="330">
        <f t="shared" si="140"/>
        <v>0.1101515042075463</v>
      </c>
      <c r="U288" s="331">
        <f t="shared" si="141"/>
        <v>6.8599840556266454</v>
      </c>
      <c r="V288" s="332">
        <f t="shared" si="142"/>
        <v>-118.82074696783619</v>
      </c>
      <c r="W288" s="334">
        <f t="shared" si="143"/>
        <v>61.179253032163814</v>
      </c>
      <c r="Y288" s="307">
        <f t="shared" si="144"/>
        <v>1000000000</v>
      </c>
      <c r="Z288" s="307">
        <f t="shared" si="145"/>
        <v>358969862.25</v>
      </c>
      <c r="AB288" s="333">
        <f t="shared" si="146"/>
        <v>34.789929298234455</v>
      </c>
      <c r="AC288" s="334">
        <f t="shared" si="147"/>
        <v>-22.47361894959386</v>
      </c>
      <c r="AE288" s="333">
        <f t="shared" si="148"/>
        <v>-3.4218941998950507</v>
      </c>
      <c r="AF288" s="334">
        <f t="shared" si="149"/>
        <v>-92.165490939315774</v>
      </c>
      <c r="AH288">
        <f t="shared" si="150"/>
        <v>0</v>
      </c>
      <c r="AI288">
        <f t="shared" si="155"/>
        <v>0</v>
      </c>
    </row>
    <row r="289" spans="1:35" x14ac:dyDescent="0.25">
      <c r="A289" s="335">
        <v>19055</v>
      </c>
      <c r="B289" s="352">
        <f t="shared" si="151"/>
        <v>19.055</v>
      </c>
      <c r="C289" s="325">
        <f t="shared" si="126"/>
        <v>40.598832913091876</v>
      </c>
      <c r="D289" s="326">
        <f t="shared" si="127"/>
        <v>1.5461625855696455</v>
      </c>
      <c r="E289" s="326">
        <f t="shared" si="128"/>
        <v>1.001146090281527</v>
      </c>
      <c r="F289" s="327">
        <f t="shared" si="129"/>
        <v>4.7853876510339323E-2</v>
      </c>
      <c r="G289" s="326">
        <f t="shared" si="130"/>
        <v>1</v>
      </c>
      <c r="H289" s="327">
        <f t="shared" si="131"/>
        <v>0</v>
      </c>
      <c r="I289" s="325">
        <f t="shared" si="132"/>
        <v>6287.6729374645811</v>
      </c>
      <c r="J289" s="328">
        <f t="shared" si="133"/>
        <v>1.5706372854430068</v>
      </c>
      <c r="K289" s="336">
        <f t="shared" si="153"/>
        <v>4.5583859547140992</v>
      </c>
      <c r="L289" s="337">
        <f t="shared" si="154"/>
        <v>1.3496215895554766</v>
      </c>
      <c r="M289" s="325">
        <f t="shared" si="134"/>
        <v>1.0147925810858542</v>
      </c>
      <c r="N289" s="337">
        <f t="shared" si="135"/>
        <v>0.17095322902698504</v>
      </c>
      <c r="O289" s="343">
        <f t="shared" si="136"/>
        <v>1.0061116117937254</v>
      </c>
      <c r="P289" s="691">
        <f t="shared" si="137"/>
        <v>0.11027825504603328</v>
      </c>
      <c r="Q289" s="336">
        <f t="shared" si="152"/>
        <v>4.2270798432526631</v>
      </c>
      <c r="R289" s="692">
        <f t="shared" si="138"/>
        <v>0.1836615909934142</v>
      </c>
      <c r="S289" s="329">
        <f t="shared" si="139"/>
        <v>0.99728920908817675</v>
      </c>
      <c r="T289" s="330">
        <f t="shared" si="140"/>
        <v>0.11078827869798631</v>
      </c>
      <c r="U289" s="331">
        <f t="shared" si="141"/>
        <v>6.8059304987771565</v>
      </c>
      <c r="V289" s="332">
        <f t="shared" si="142"/>
        <v>-118.85718689577847</v>
      </c>
      <c r="W289" s="334">
        <f t="shared" si="143"/>
        <v>61.142813104221531</v>
      </c>
      <c r="Y289" s="307">
        <f t="shared" si="144"/>
        <v>1000000000</v>
      </c>
      <c r="Z289" s="307">
        <f t="shared" si="145"/>
        <v>363093025</v>
      </c>
      <c r="AB289" s="333">
        <f t="shared" si="146"/>
        <v>34.786101741866943</v>
      </c>
      <c r="AC289" s="334">
        <f t="shared" si="147"/>
        <v>-22.45816512354418</v>
      </c>
      <c r="AE289" s="333">
        <f t="shared" si="148"/>
        <v>-3.471085621534022</v>
      </c>
      <c r="AF289" s="334">
        <f t="shared" si="149"/>
        <v>-92.194466331054286</v>
      </c>
      <c r="AH289">
        <f t="shared" si="150"/>
        <v>0</v>
      </c>
      <c r="AI289">
        <f t="shared" si="155"/>
        <v>0</v>
      </c>
    </row>
    <row r="290" spans="1:35" x14ac:dyDescent="0.25">
      <c r="A290" s="335">
        <v>19165.75</v>
      </c>
      <c r="B290" s="352">
        <f t="shared" si="151"/>
        <v>19.165749999999999</v>
      </c>
      <c r="C290" s="325">
        <f t="shared" si="126"/>
        <v>40.834655569145895</v>
      </c>
      <c r="D290" s="326">
        <f t="shared" si="127"/>
        <v>1.546304875479295</v>
      </c>
      <c r="E290" s="326">
        <f t="shared" si="128"/>
        <v>1.0011594436954263</v>
      </c>
      <c r="F290" s="327">
        <f t="shared" si="129"/>
        <v>4.8131580996557184E-2</v>
      </c>
      <c r="G290" s="326">
        <f t="shared" si="130"/>
        <v>1</v>
      </c>
      <c r="H290" s="327">
        <f t="shared" si="131"/>
        <v>0</v>
      </c>
      <c r="I290" s="325">
        <f t="shared" si="132"/>
        <v>6324.2176637968441</v>
      </c>
      <c r="J290" s="328">
        <f t="shared" si="133"/>
        <v>1.5706382044693652</v>
      </c>
      <c r="K290" s="336">
        <f t="shared" si="153"/>
        <v>4.583608321634272</v>
      </c>
      <c r="L290" s="337">
        <f t="shared" si="154"/>
        <v>1.3508587247867443</v>
      </c>
      <c r="M290" s="325">
        <f t="shared" si="134"/>
        <v>1.0149637620341294</v>
      </c>
      <c r="N290" s="337">
        <f t="shared" si="135"/>
        <v>0.1719274201796864</v>
      </c>
      <c r="O290" s="343">
        <f t="shared" si="136"/>
        <v>1.0061826422163169</v>
      </c>
      <c r="P290" s="691">
        <f t="shared" si="137"/>
        <v>0.11091397706608633</v>
      </c>
      <c r="Q290" s="336">
        <f t="shared" si="152"/>
        <v>4.2278949647961968</v>
      </c>
      <c r="R290" s="692">
        <f t="shared" si="138"/>
        <v>0.18470530171210034</v>
      </c>
      <c r="S290" s="329">
        <f t="shared" si="139"/>
        <v>0.99725802367774841</v>
      </c>
      <c r="T290" s="330">
        <f t="shared" si="140"/>
        <v>0.11143836375083878</v>
      </c>
      <c r="U290" s="331">
        <f t="shared" si="141"/>
        <v>6.7510751736073598</v>
      </c>
      <c r="V290" s="332">
        <f t="shared" si="142"/>
        <v>-118.89503844285527</v>
      </c>
      <c r="W290" s="334">
        <f t="shared" si="143"/>
        <v>61.104961557144733</v>
      </c>
      <c r="Y290" s="307">
        <f t="shared" si="144"/>
        <v>1000000000</v>
      </c>
      <c r="Z290" s="307">
        <f t="shared" si="145"/>
        <v>367325973.0625</v>
      </c>
      <c r="AB290" s="333">
        <f t="shared" si="146"/>
        <v>34.782227476047169</v>
      </c>
      <c r="AC290" s="334">
        <f t="shared" si="147"/>
        <v>-22.443152193908809</v>
      </c>
      <c r="AE290" s="333">
        <f t="shared" si="148"/>
        <v>-3.5210051070638695</v>
      </c>
      <c r="AF290" s="334">
        <f t="shared" si="149"/>
        <v>-92.223954777219035</v>
      </c>
      <c r="AH290">
        <f t="shared" si="150"/>
        <v>0</v>
      </c>
      <c r="AI290">
        <f t="shared" si="155"/>
        <v>0</v>
      </c>
    </row>
    <row r="291" spans="1:35" x14ac:dyDescent="0.25">
      <c r="A291" s="335">
        <v>19276.5</v>
      </c>
      <c r="B291" s="352">
        <f t="shared" si="151"/>
        <v>19.276499999999999</v>
      </c>
      <c r="C291" s="325">
        <f t="shared" si="126"/>
        <v>41.07047904246113</v>
      </c>
      <c r="D291" s="326">
        <f t="shared" si="127"/>
        <v>1.546445531356736</v>
      </c>
      <c r="E291" s="326">
        <f t="shared" si="128"/>
        <v>1.0011728743164605</v>
      </c>
      <c r="F291" s="327">
        <f t="shared" si="129"/>
        <v>4.8409278053441862E-2</v>
      </c>
      <c r="G291" s="326">
        <f t="shared" si="130"/>
        <v>1</v>
      </c>
      <c r="H291" s="327">
        <f t="shared" si="131"/>
        <v>0</v>
      </c>
      <c r="I291" s="325">
        <f t="shared" si="132"/>
        <v>6360.7623901343868</v>
      </c>
      <c r="J291" s="328">
        <f t="shared" si="133"/>
        <v>1.5706391129354904</v>
      </c>
      <c r="K291" s="336">
        <f t="shared" si="153"/>
        <v>4.6088376269939566</v>
      </c>
      <c r="L291" s="337">
        <f t="shared" si="154"/>
        <v>1.3520823174336063</v>
      </c>
      <c r="M291" s="325">
        <f t="shared" si="134"/>
        <v>1.0151359059067451</v>
      </c>
      <c r="N291" s="337">
        <f t="shared" si="135"/>
        <v>0.1729012818552145</v>
      </c>
      <c r="O291" s="343">
        <f t="shared" si="136"/>
        <v>1.0062540792225587</v>
      </c>
      <c r="P291" s="691">
        <f t="shared" si="137"/>
        <v>0.11154960907935507</v>
      </c>
      <c r="Q291" s="336">
        <f t="shared" si="152"/>
        <v>4.2287146517190184</v>
      </c>
      <c r="R291" s="692">
        <f t="shared" si="138"/>
        <v>0.18574861063317985</v>
      </c>
      <c r="S291" s="329">
        <f t="shared" si="139"/>
        <v>0.99722666726177178</v>
      </c>
      <c r="T291" s="330">
        <f t="shared" si="140"/>
        <v>0.11208855606360171</v>
      </c>
      <c r="U291" s="331">
        <f t="shared" si="141"/>
        <v>6.6965380551150151</v>
      </c>
      <c r="V291" s="332">
        <f t="shared" si="142"/>
        <v>-118.933541523917</v>
      </c>
      <c r="W291" s="334">
        <f t="shared" si="143"/>
        <v>61.066458476083</v>
      </c>
      <c r="Y291" s="307">
        <f t="shared" si="144"/>
        <v>1000000000</v>
      </c>
      <c r="Z291" s="307">
        <f t="shared" si="145"/>
        <v>371583452.25</v>
      </c>
      <c r="AB291" s="333">
        <f t="shared" si="146"/>
        <v>34.778385320882585</v>
      </c>
      <c r="AC291" s="334">
        <f t="shared" si="147"/>
        <v>-22.428895714496193</v>
      </c>
      <c r="AE291" s="333">
        <f t="shared" si="148"/>
        <v>-3.5706329083221684</v>
      </c>
      <c r="AF291" s="334">
        <f t="shared" si="149"/>
        <v>-92.25335617144421</v>
      </c>
      <c r="AH291">
        <f t="shared" si="150"/>
        <v>0</v>
      </c>
      <c r="AI291">
        <f t="shared" si="155"/>
        <v>0</v>
      </c>
    </row>
    <row r="292" spans="1:35" x14ac:dyDescent="0.25">
      <c r="A292" s="335">
        <v>19387.25</v>
      </c>
      <c r="B292" s="352">
        <f t="shared" si="151"/>
        <v>19.387250000000002</v>
      </c>
      <c r="C292" s="325">
        <f t="shared" si="126"/>
        <v>41.306303319040005</v>
      </c>
      <c r="D292" s="326">
        <f t="shared" si="127"/>
        <v>1.5465845811832066</v>
      </c>
      <c r="E292" s="326">
        <f t="shared" si="128"/>
        <v>1.0011863821415221</v>
      </c>
      <c r="F292" s="327">
        <f t="shared" si="129"/>
        <v>4.8686967638463648E-2</v>
      </c>
      <c r="G292" s="326">
        <f t="shared" si="130"/>
        <v>1</v>
      </c>
      <c r="H292" s="327">
        <f t="shared" si="131"/>
        <v>0</v>
      </c>
      <c r="I292" s="325">
        <f t="shared" si="132"/>
        <v>6397.3071164771191</v>
      </c>
      <c r="J292" s="328">
        <f t="shared" si="133"/>
        <v>1.5706400110223591</v>
      </c>
      <c r="K292" s="336">
        <f t="shared" si="153"/>
        <v>4.6340737574682374</v>
      </c>
      <c r="L292" s="337">
        <f t="shared" si="154"/>
        <v>1.353292585051616</v>
      </c>
      <c r="M292" s="325">
        <f t="shared" si="134"/>
        <v>1.0153090122139148</v>
      </c>
      <c r="N292" s="337">
        <f t="shared" si="135"/>
        <v>0.17387481237439437</v>
      </c>
      <c r="O292" s="343">
        <f t="shared" si="136"/>
        <v>1.0063259227258636</v>
      </c>
      <c r="P292" s="691">
        <f t="shared" si="137"/>
        <v>0.11218515059143633</v>
      </c>
      <c r="Q292" s="336">
        <f t="shared" si="152"/>
        <v>4.2295389013669995</v>
      </c>
      <c r="R292" s="692">
        <f t="shared" si="138"/>
        <v>0.18679151574808858</v>
      </c>
      <c r="S292" s="329">
        <f t="shared" si="139"/>
        <v>0.99719514000972331</v>
      </c>
      <c r="T292" s="330">
        <f t="shared" si="140"/>
        <v>0.11273885625560738</v>
      </c>
      <c r="U292" s="331">
        <f t="shared" si="141"/>
        <v>6.6423149698347652</v>
      </c>
      <c r="V292" s="332">
        <f t="shared" si="142"/>
        <v>-118.97268514248185</v>
      </c>
      <c r="W292" s="334">
        <f t="shared" si="143"/>
        <v>61.027314857518149</v>
      </c>
      <c r="Y292" s="307">
        <f t="shared" si="144"/>
        <v>1000000000</v>
      </c>
      <c r="Z292" s="307">
        <f t="shared" si="145"/>
        <v>375865462.5625</v>
      </c>
      <c r="AB292" s="333">
        <f t="shared" si="146"/>
        <v>34.774574406360472</v>
      </c>
      <c r="AC292" s="334">
        <f t="shared" si="147"/>
        <v>-22.415383134450838</v>
      </c>
      <c r="AE292" s="333">
        <f t="shared" si="148"/>
        <v>-3.6199723380510704</v>
      </c>
      <c r="AF292" s="334">
        <f t="shared" si="149"/>
        <v>-92.282672154858474</v>
      </c>
      <c r="AH292">
        <f t="shared" si="150"/>
        <v>0</v>
      </c>
      <c r="AI292">
        <f t="shared" si="155"/>
        <v>0</v>
      </c>
    </row>
    <row r="293" spans="1:35" x14ac:dyDescent="0.25">
      <c r="A293" s="335">
        <v>19498</v>
      </c>
      <c r="B293" s="352">
        <f t="shared" si="151"/>
        <v>19.498000000000001</v>
      </c>
      <c r="C293" s="325">
        <f t="shared" si="126"/>
        <v>41.54212838520273</v>
      </c>
      <c r="D293" s="326">
        <f t="shared" si="127"/>
        <v>1.5467220523048242</v>
      </c>
      <c r="E293" s="326">
        <f t="shared" si="128"/>
        <v>1.0011999671674863</v>
      </c>
      <c r="F293" s="327">
        <f t="shared" si="129"/>
        <v>4.8964649709099695E-2</v>
      </c>
      <c r="G293" s="326">
        <f t="shared" si="130"/>
        <v>1</v>
      </c>
      <c r="H293" s="327">
        <f t="shared" si="131"/>
        <v>0</v>
      </c>
      <c r="I293" s="325">
        <f t="shared" si="132"/>
        <v>6433.8518428249527</v>
      </c>
      <c r="J293" s="328">
        <f t="shared" si="133"/>
        <v>1.5706408989068359</v>
      </c>
      <c r="K293" s="336">
        <f t="shared" si="153"/>
        <v>4.6593166021570642</v>
      </c>
      <c r="L293" s="337">
        <f t="shared" si="154"/>
        <v>1.3544897406397738</v>
      </c>
      <c r="M293" s="325">
        <f t="shared" si="134"/>
        <v>1.0154830804634485</v>
      </c>
      <c r="N293" s="337">
        <f t="shared" si="135"/>
        <v>0.1748480100617037</v>
      </c>
      <c r="O293" s="343">
        <f t="shared" si="136"/>
        <v>1.006398172639176</v>
      </c>
      <c r="P293" s="691">
        <f t="shared" si="137"/>
        <v>0.11282060110836012</v>
      </c>
      <c r="Q293" s="336">
        <f t="shared" si="152"/>
        <v>4.2303677110733107</v>
      </c>
      <c r="R293" s="692">
        <f t="shared" si="138"/>
        <v>0.18783401505330768</v>
      </c>
      <c r="S293" s="329">
        <f t="shared" si="139"/>
        <v>0.99716344209208285</v>
      </c>
      <c r="T293" s="330">
        <f t="shared" si="140"/>
        <v>0.11338926494617267</v>
      </c>
      <c r="U293" s="331">
        <f t="shared" si="141"/>
        <v>6.5884018245568567</v>
      </c>
      <c r="V293" s="332">
        <f t="shared" si="142"/>
        <v>-119.01245852698628</v>
      </c>
      <c r="W293" s="334">
        <f t="shared" si="143"/>
        <v>60.987541473013721</v>
      </c>
      <c r="Y293" s="307">
        <f t="shared" si="144"/>
        <v>1000000000</v>
      </c>
      <c r="Z293" s="307">
        <f t="shared" si="145"/>
        <v>380172004</v>
      </c>
      <c r="AB293" s="333">
        <f t="shared" si="146"/>
        <v>34.770793886237762</v>
      </c>
      <c r="AC293" s="334">
        <f t="shared" si="147"/>
        <v>-22.402602163962221</v>
      </c>
      <c r="AE293" s="333">
        <f t="shared" si="148"/>
        <v>-3.6690266525469122</v>
      </c>
      <c r="AF293" s="334">
        <f t="shared" si="149"/>
        <v>-92.311904332199617</v>
      </c>
      <c r="AH293">
        <f t="shared" si="150"/>
        <v>0</v>
      </c>
      <c r="AI293">
        <f t="shared" si="155"/>
        <v>0</v>
      </c>
    </row>
    <row r="294" spans="1:35" x14ac:dyDescent="0.25">
      <c r="A294" s="335">
        <v>19611.75</v>
      </c>
      <c r="B294" s="352">
        <f t="shared" si="151"/>
        <v>19.611750000000001</v>
      </c>
      <c r="C294" s="325">
        <f t="shared" si="126"/>
        <v>41.784342297188331</v>
      </c>
      <c r="D294" s="326">
        <f t="shared" si="127"/>
        <v>1.5468616318907966</v>
      </c>
      <c r="E294" s="326">
        <f t="shared" si="128"/>
        <v>1.0012140005478809</v>
      </c>
      <c r="F294" s="327">
        <f t="shared" si="129"/>
        <v>4.9249845774568153E-2</v>
      </c>
      <c r="G294" s="326">
        <f t="shared" si="130"/>
        <v>1</v>
      </c>
      <c r="H294" s="327">
        <f t="shared" si="131"/>
        <v>0</v>
      </c>
      <c r="I294" s="325">
        <f t="shared" si="132"/>
        <v>6471.3864940452149</v>
      </c>
      <c r="J294" s="328">
        <f t="shared" si="133"/>
        <v>1.5706418004032339</v>
      </c>
      <c r="K294" s="336">
        <f t="shared" si="153"/>
        <v>4.6852501014320715</v>
      </c>
      <c r="L294" s="337">
        <f t="shared" si="154"/>
        <v>1.3557058942517348</v>
      </c>
      <c r="M294" s="325">
        <f t="shared" si="134"/>
        <v>1.0156628647414589</v>
      </c>
      <c r="N294" s="337">
        <f t="shared" si="135"/>
        <v>0.17584722152940571</v>
      </c>
      <c r="O294" s="343">
        <f t="shared" si="136"/>
        <v>1.0064728026411973</v>
      </c>
      <c r="P294" s="691">
        <f t="shared" si="137"/>
        <v>0.11347316948757023</v>
      </c>
      <c r="Q294" s="336">
        <f t="shared" si="152"/>
        <v>4.231223715808123</v>
      </c>
      <c r="R294" s="692">
        <f t="shared" si="138"/>
        <v>0.18890432907076646</v>
      </c>
      <c r="S294" s="329">
        <f t="shared" si="139"/>
        <v>0.99713070805753712</v>
      </c>
      <c r="T294" s="330">
        <f t="shared" si="140"/>
        <v>0.11405740552823701</v>
      </c>
      <c r="U294" s="331">
        <f t="shared" si="141"/>
        <v>6.5333467084712602</v>
      </c>
      <c r="V294" s="332">
        <f t="shared" si="142"/>
        <v>-119.05395379746064</v>
      </c>
      <c r="W294" s="334">
        <f t="shared" si="143"/>
        <v>60.946046202539364</v>
      </c>
      <c r="Y294" s="307">
        <f t="shared" si="144"/>
        <v>1000000000</v>
      </c>
      <c r="Z294" s="307">
        <f t="shared" si="145"/>
        <v>384620738.0625</v>
      </c>
      <c r="AB294" s="333">
        <f t="shared" si="146"/>
        <v>34.766941735223575</v>
      </c>
      <c r="AC294" s="334">
        <f t="shared" si="147"/>
        <v>-22.390223946622381</v>
      </c>
      <c r="AE294" s="333">
        <f t="shared" si="148"/>
        <v>-3.7191163095039337</v>
      </c>
      <c r="AF294" s="334">
        <f t="shared" si="149"/>
        <v>-92.341842758004844</v>
      </c>
      <c r="AH294">
        <f t="shared" si="150"/>
        <v>0</v>
      </c>
      <c r="AI294">
        <f t="shared" si="155"/>
        <v>0</v>
      </c>
    </row>
    <row r="295" spans="1:35" x14ac:dyDescent="0.25">
      <c r="A295" s="335">
        <v>19725.5</v>
      </c>
      <c r="B295" s="352">
        <f t="shared" si="151"/>
        <v>19.7255</v>
      </c>
      <c r="C295" s="325">
        <f t="shared" si="126"/>
        <v>42.026557013852283</v>
      </c>
      <c r="D295" s="326">
        <f t="shared" si="127"/>
        <v>1.5469996025810457</v>
      </c>
      <c r="E295" s="326">
        <f t="shared" si="128"/>
        <v>1.0012281153615277</v>
      </c>
      <c r="F295" s="327">
        <f t="shared" si="129"/>
        <v>4.9535033822129114E-2</v>
      </c>
      <c r="G295" s="326">
        <f t="shared" si="130"/>
        <v>1</v>
      </c>
      <c r="H295" s="327">
        <f t="shared" si="131"/>
        <v>0</v>
      </c>
      <c r="I295" s="325">
        <f t="shared" si="132"/>
        <v>6508.9211452706768</v>
      </c>
      <c r="J295" s="328">
        <f t="shared" si="133"/>
        <v>1.5706426915024088</v>
      </c>
      <c r="K295" s="336">
        <f t="shared" si="153"/>
        <v>4.7111904540343206</v>
      </c>
      <c r="L295" s="337">
        <f t="shared" si="154"/>
        <v>1.3569086570650148</v>
      </c>
      <c r="M295" s="325">
        <f t="shared" si="134"/>
        <v>1.0158436627216714</v>
      </c>
      <c r="N295" s="337">
        <f t="shared" si="135"/>
        <v>0.1768460783184691</v>
      </c>
      <c r="O295" s="343">
        <f t="shared" si="136"/>
        <v>1.0065478611814587</v>
      </c>
      <c r="P295" s="691">
        <f t="shared" si="137"/>
        <v>0.11412564082020456</v>
      </c>
      <c r="Q295" s="336">
        <f t="shared" si="152"/>
        <v>4.2320845252495873</v>
      </c>
      <c r="R295" s="692">
        <f t="shared" si="138"/>
        <v>0.189974210727714</v>
      </c>
      <c r="S295" s="329">
        <f t="shared" si="139"/>
        <v>0.99709779435398549</v>
      </c>
      <c r="T295" s="330">
        <f t="shared" si="140"/>
        <v>0.11472566189079211</v>
      </c>
      <c r="U295" s="331">
        <f t="shared" si="141"/>
        <v>6.4786100495818211</v>
      </c>
      <c r="V295" s="332">
        <f t="shared" si="142"/>
        <v>-119.09609108499617</v>
      </c>
      <c r="W295" s="334">
        <f t="shared" si="143"/>
        <v>60.903908915003825</v>
      </c>
      <c r="Y295" s="307">
        <f t="shared" si="144"/>
        <v>1000000000</v>
      </c>
      <c r="Z295" s="307">
        <f t="shared" si="145"/>
        <v>389095350.25</v>
      </c>
      <c r="AB295" s="333">
        <f t="shared" si="146"/>
        <v>34.763119911724971</v>
      </c>
      <c r="AC295" s="334">
        <f t="shared" si="147"/>
        <v>-22.378592048226029</v>
      </c>
      <c r="AE295" s="333">
        <f t="shared" si="148"/>
        <v>-3.7689119814024465</v>
      </c>
      <c r="AF295" s="334">
        <f t="shared" si="149"/>
        <v>-92.371696094001081</v>
      </c>
      <c r="AH295">
        <f t="shared" si="150"/>
        <v>0</v>
      </c>
      <c r="AI295">
        <f t="shared" si="155"/>
        <v>0</v>
      </c>
    </row>
    <row r="296" spans="1:35" x14ac:dyDescent="0.25">
      <c r="A296" s="335">
        <v>19839.25</v>
      </c>
      <c r="B296" s="352">
        <f t="shared" si="151"/>
        <v>19.83925</v>
      </c>
      <c r="C296" s="325">
        <f t="shared" si="126"/>
        <v>42.268772521361328</v>
      </c>
      <c r="D296" s="326">
        <f t="shared" si="127"/>
        <v>1.5471359920289536</v>
      </c>
      <c r="E296" s="326">
        <f t="shared" si="128"/>
        <v>1.0012423116049824</v>
      </c>
      <c r="F296" s="327">
        <f t="shared" si="129"/>
        <v>4.9820213805732705E-2</v>
      </c>
      <c r="G296" s="326">
        <f t="shared" si="130"/>
        <v>1</v>
      </c>
      <c r="H296" s="327">
        <f t="shared" si="131"/>
        <v>0</v>
      </c>
      <c r="I296" s="325">
        <f t="shared" si="132"/>
        <v>6546.4557965012482</v>
      </c>
      <c r="J296" s="328">
        <f t="shared" si="133"/>
        <v>1.5706435723832006</v>
      </c>
      <c r="K296" s="336">
        <f t="shared" si="153"/>
        <v>4.7371375473782775</v>
      </c>
      <c r="L296" s="337">
        <f t="shared" si="154"/>
        <v>1.3580982456101978</v>
      </c>
      <c r="M296" s="325">
        <f t="shared" si="134"/>
        <v>1.0160254738629322</v>
      </c>
      <c r="N296" s="337">
        <f t="shared" si="135"/>
        <v>0.17784457862562095</v>
      </c>
      <c r="O296" s="343">
        <f t="shared" si="136"/>
        <v>1.0066233481640983</v>
      </c>
      <c r="P296" s="691">
        <f t="shared" si="137"/>
        <v>0.11477801457249559</v>
      </c>
      <c r="Q296" s="336">
        <f t="shared" si="152"/>
        <v>4.2329501364666688</v>
      </c>
      <c r="R296" s="692">
        <f t="shared" si="138"/>
        <v>0.19104365787011404</v>
      </c>
      <c r="S296" s="329">
        <f t="shared" si="139"/>
        <v>0.99706470116944756</v>
      </c>
      <c r="T296" s="330">
        <f t="shared" si="140"/>
        <v>0.11539403470480612</v>
      </c>
      <c r="U296" s="331">
        <f t="shared" si="141"/>
        <v>6.4241876640831155</v>
      </c>
      <c r="V296" s="332">
        <f t="shared" si="142"/>
        <v>-119.13885942290079</v>
      </c>
      <c r="W296" s="334">
        <f t="shared" si="143"/>
        <v>60.861140577099206</v>
      </c>
      <c r="Y296" s="307">
        <f t="shared" si="144"/>
        <v>1000000000</v>
      </c>
      <c r="Z296" s="307">
        <f t="shared" si="145"/>
        <v>393595840.5625</v>
      </c>
      <c r="AB296" s="333">
        <f t="shared" si="146"/>
        <v>34.759327572223071</v>
      </c>
      <c r="AC296" s="334">
        <f t="shared" si="147"/>
        <v>-22.367693969411427</v>
      </c>
      <c r="AE296" s="333">
        <f t="shared" si="148"/>
        <v>-3.8184170187683799</v>
      </c>
      <c r="AF296" s="334">
        <f t="shared" si="149"/>
        <v>-92.401465965692537</v>
      </c>
      <c r="AH296">
        <f t="shared" si="150"/>
        <v>0</v>
      </c>
      <c r="AI296">
        <f t="shared" si="155"/>
        <v>0</v>
      </c>
    </row>
    <row r="297" spans="1:35" x14ac:dyDescent="0.25">
      <c r="A297" s="335">
        <v>19953</v>
      </c>
      <c r="B297" s="352">
        <f t="shared" si="151"/>
        <v>19.952999999999999</v>
      </c>
      <c r="C297" s="325">
        <f t="shared" si="126"/>
        <v>42.510988806197432</v>
      </c>
      <c r="D297" s="326">
        <f t="shared" si="127"/>
        <v>1.5472708272578943</v>
      </c>
      <c r="E297" s="326">
        <f t="shared" si="128"/>
        <v>1.0012565892747813</v>
      </c>
      <c r="F297" s="327">
        <f t="shared" si="129"/>
        <v>5.0105385679336902E-2</v>
      </c>
      <c r="G297" s="326">
        <f t="shared" si="130"/>
        <v>1</v>
      </c>
      <c r="H297" s="327">
        <f t="shared" si="131"/>
        <v>0</v>
      </c>
      <c r="I297" s="325">
        <f t="shared" si="132"/>
        <v>6583.9904477368409</v>
      </c>
      <c r="J297" s="328">
        <f t="shared" si="133"/>
        <v>1.570644443220371</v>
      </c>
      <c r="K297" s="336">
        <f t="shared" si="153"/>
        <v>4.76309127130272</v>
      </c>
      <c r="L297" s="337">
        <f t="shared" si="154"/>
        <v>1.3592748718494243</v>
      </c>
      <c r="M297" s="325">
        <f t="shared" si="134"/>
        <v>1.0162082976214435</v>
      </c>
      <c r="N297" s="337">
        <f t="shared" si="135"/>
        <v>0.17884272065171833</v>
      </c>
      <c r="O297" s="343">
        <f t="shared" si="136"/>
        <v>1.0066992634927368</v>
      </c>
      <c r="P297" s="691">
        <f t="shared" si="137"/>
        <v>0.11543029021116769</v>
      </c>
      <c r="Q297" s="336">
        <f t="shared" si="152"/>
        <v>4.2338205465143846</v>
      </c>
      <c r="R297" s="692">
        <f t="shared" si="138"/>
        <v>0.19211266834962948</v>
      </c>
      <c r="S297" s="329">
        <f t="shared" si="139"/>
        <v>0.99703142869306094</v>
      </c>
      <c r="T297" s="330">
        <f t="shared" si="140"/>
        <v>0.11606252464122888</v>
      </c>
      <c r="U297" s="331">
        <f t="shared" si="141"/>
        <v>6.3700754487281213</v>
      </c>
      <c r="V297" s="332">
        <f t="shared" si="142"/>
        <v>-119.18224807043788</v>
      </c>
      <c r="W297" s="334">
        <f t="shared" si="143"/>
        <v>60.817751929562121</v>
      </c>
      <c r="Y297" s="307">
        <f t="shared" si="144"/>
        <v>1000000000</v>
      </c>
      <c r="Z297" s="307">
        <f t="shared" si="145"/>
        <v>398122209</v>
      </c>
      <c r="AB297" s="333">
        <f t="shared" si="146"/>
        <v>34.75556389641126</v>
      </c>
      <c r="AC297" s="334">
        <f t="shared" si="147"/>
        <v>-22.35751747257229</v>
      </c>
      <c r="AE297" s="333">
        <f t="shared" si="148"/>
        <v>-3.8676347148252264</v>
      </c>
      <c r="AF297" s="334">
        <f t="shared" si="149"/>
        <v>-92.43115396248507</v>
      </c>
      <c r="AH297">
        <f t="shared" si="150"/>
        <v>0</v>
      </c>
      <c r="AI297">
        <f t="shared" si="155"/>
        <v>0</v>
      </c>
    </row>
    <row r="298" spans="1:35" x14ac:dyDescent="0.25">
      <c r="A298" s="335">
        <v>20069</v>
      </c>
      <c r="B298" s="352">
        <f t="shared" si="151"/>
        <v>20.068999999999999</v>
      </c>
      <c r="C298" s="325">
        <f t="shared" si="126"/>
        <v>42.757996969230135</v>
      </c>
      <c r="D298" s="326">
        <f t="shared" si="127"/>
        <v>1.5474067562963643</v>
      </c>
      <c r="E298" s="326">
        <f t="shared" si="128"/>
        <v>1.0012712332146361</v>
      </c>
      <c r="F298" s="327">
        <f t="shared" si="129"/>
        <v>5.0396189915342289E-2</v>
      </c>
      <c r="G298" s="326">
        <f t="shared" si="130"/>
        <v>1</v>
      </c>
      <c r="H298" s="327">
        <f t="shared" si="131"/>
        <v>0</v>
      </c>
      <c r="I298" s="325">
        <f t="shared" si="132"/>
        <v>6622.2675426283313</v>
      </c>
      <c r="J298" s="328">
        <f t="shared" si="133"/>
        <v>1.5706453211163487</v>
      </c>
      <c r="K298" s="336">
        <f t="shared" si="153"/>
        <v>4.7895650824588376</v>
      </c>
      <c r="L298" s="337">
        <f t="shared" si="154"/>
        <v>1.3604616376723748</v>
      </c>
      <c r="M298" s="325">
        <f t="shared" si="134"/>
        <v>1.0163957799676362</v>
      </c>
      <c r="N298" s="337">
        <f t="shared" si="135"/>
        <v>0.17986023530422959</v>
      </c>
      <c r="O298" s="343">
        <f t="shared" si="136"/>
        <v>1.0067771214817707</v>
      </c>
      <c r="P298" s="691">
        <f t="shared" si="137"/>
        <v>0.11609536640914529</v>
      </c>
      <c r="Q298" s="336">
        <f t="shared" si="152"/>
        <v>4.2347131125490378</v>
      </c>
      <c r="R298" s="692">
        <f t="shared" si="138"/>
        <v>0.19320237216600891</v>
      </c>
      <c r="S298" s="329">
        <f t="shared" si="139"/>
        <v>0.99699731363044397</v>
      </c>
      <c r="T298" s="330">
        <f t="shared" si="140"/>
        <v>0.11674435877142132</v>
      </c>
      <c r="U298" s="331">
        <f t="shared" si="141"/>
        <v>6.3152081436607341</v>
      </c>
      <c r="V298" s="332">
        <f t="shared" si="142"/>
        <v>-119.2271228856968</v>
      </c>
      <c r="W298" s="334">
        <f t="shared" si="143"/>
        <v>60.772877114303199</v>
      </c>
      <c r="Y298" s="307">
        <f t="shared" si="144"/>
        <v>1000000000</v>
      </c>
      <c r="Z298" s="307">
        <f t="shared" si="145"/>
        <v>402764761</v>
      </c>
      <c r="AB298" s="333">
        <f t="shared" si="146"/>
        <v>34.751754467049182</v>
      </c>
      <c r="AC298" s="334">
        <f t="shared" si="147"/>
        <v>-22.347870394551823</v>
      </c>
      <c r="AE298" s="333">
        <f t="shared" si="148"/>
        <v>-3.9175333802977983</v>
      </c>
      <c r="AF298" s="334">
        <f t="shared" si="149"/>
        <v>-92.461346485337558</v>
      </c>
      <c r="AH298">
        <f t="shared" si="150"/>
        <v>0</v>
      </c>
      <c r="AI298">
        <f t="shared" si="155"/>
        <v>0</v>
      </c>
    </row>
    <row r="299" spans="1:35" x14ac:dyDescent="0.25">
      <c r="A299" s="335">
        <v>20185</v>
      </c>
      <c r="B299" s="352">
        <f t="shared" si="151"/>
        <v>20.184999999999999</v>
      </c>
      <c r="C299" s="325">
        <f t="shared" si="126"/>
        <v>43.005005913214298</v>
      </c>
      <c r="D299" s="326">
        <f t="shared" si="127"/>
        <v>1.5475411238591568</v>
      </c>
      <c r="E299" s="326">
        <f t="shared" si="128"/>
        <v>1.0012859618266181</v>
      </c>
      <c r="F299" s="327">
        <f t="shared" si="129"/>
        <v>5.0686985620655094E-2</v>
      </c>
      <c r="G299" s="326">
        <f t="shared" si="130"/>
        <v>1</v>
      </c>
      <c r="H299" s="327">
        <f t="shared" si="131"/>
        <v>0</v>
      </c>
      <c r="I299" s="325">
        <f t="shared" si="132"/>
        <v>6660.5446375248657</v>
      </c>
      <c r="J299" s="328">
        <f t="shared" si="133"/>
        <v>1.5706461889220682</v>
      </c>
      <c r="K299" s="336">
        <f t="shared" si="153"/>
        <v>4.8160455651336429</v>
      </c>
      <c r="L299" s="337">
        <f t="shared" si="154"/>
        <v>1.3616353545375726</v>
      </c>
      <c r="M299" s="325">
        <f t="shared" si="134"/>
        <v>1.0165843142362614</v>
      </c>
      <c r="N299" s="337">
        <f t="shared" si="135"/>
        <v>0.18087737359588046</v>
      </c>
      <c r="O299" s="343">
        <f t="shared" si="136"/>
        <v>1.0068554247258663</v>
      </c>
      <c r="P299" s="691">
        <f t="shared" si="137"/>
        <v>0.11676033945513904</v>
      </c>
      <c r="Q299" s="336">
        <f t="shared" si="152"/>
        <v>4.2356106629058203</v>
      </c>
      <c r="R299" s="692">
        <f t="shared" si="138"/>
        <v>0.19429161737973785</v>
      </c>
      <c r="S299" s="329">
        <f t="shared" si="139"/>
        <v>0.99696301251379649</v>
      </c>
      <c r="T299" s="330">
        <f t="shared" si="140"/>
        <v>0.11742631611251392</v>
      </c>
      <c r="U299" s="331">
        <f t="shared" si="141"/>
        <v>6.2606550289204757</v>
      </c>
      <c r="V299" s="332">
        <f t="shared" si="142"/>
        <v>-119.2726209255927</v>
      </c>
      <c r="W299" s="334">
        <f t="shared" si="143"/>
        <v>60.727379074407295</v>
      </c>
      <c r="Y299" s="307">
        <f t="shared" si="144"/>
        <v>1000000000</v>
      </c>
      <c r="Z299" s="307">
        <f t="shared" si="145"/>
        <v>407434225</v>
      </c>
      <c r="AB299" s="333">
        <f t="shared" si="146"/>
        <v>34.747973194056975</v>
      </c>
      <c r="AC299" s="334">
        <f t="shared" si="147"/>
        <v>-22.338948824720379</v>
      </c>
      <c r="AE299" s="333">
        <f t="shared" si="148"/>
        <v>-3.9671399655824029</v>
      </c>
      <c r="AF299" s="334">
        <f t="shared" si="149"/>
        <v>-92.49145709046104</v>
      </c>
      <c r="AH299">
        <f t="shared" si="150"/>
        <v>0</v>
      </c>
      <c r="AI299">
        <f t="shared" si="155"/>
        <v>0</v>
      </c>
    </row>
    <row r="300" spans="1:35" x14ac:dyDescent="0.25">
      <c r="A300" s="335">
        <v>20301</v>
      </c>
      <c r="B300" s="352">
        <f t="shared" si="151"/>
        <v>20.300999999999998</v>
      </c>
      <c r="C300" s="325">
        <f t="shared" si="126"/>
        <v>43.25201562477006</v>
      </c>
      <c r="D300" s="326">
        <f t="shared" si="127"/>
        <v>1.547673956693864</v>
      </c>
      <c r="E300" s="326">
        <f t="shared" si="128"/>
        <v>1.0013007751069909</v>
      </c>
      <c r="F300" s="327">
        <f t="shared" si="129"/>
        <v>5.0977772746472222E-2</v>
      </c>
      <c r="G300" s="326">
        <f t="shared" si="130"/>
        <v>1</v>
      </c>
      <c r="H300" s="327">
        <f t="shared" si="131"/>
        <v>0</v>
      </c>
      <c r="I300" s="325">
        <f t="shared" si="132"/>
        <v>6698.8217324263596</v>
      </c>
      <c r="J300" s="328">
        <f t="shared" si="133"/>
        <v>1.5706470468104967</v>
      </c>
      <c r="K300" s="336">
        <f t="shared" si="153"/>
        <v>4.8425326098812871</v>
      </c>
      <c r="L300" s="337">
        <f t="shared" si="154"/>
        <v>1.3627962333047472</v>
      </c>
      <c r="M300" s="325">
        <f t="shared" si="134"/>
        <v>1.0167738998421643</v>
      </c>
      <c r="N300" s="337">
        <f t="shared" si="135"/>
        <v>0.1818941336320157</v>
      </c>
      <c r="O300" s="343">
        <f t="shared" si="136"/>
        <v>1.0069341731211492</v>
      </c>
      <c r="P300" s="691">
        <f t="shared" si="137"/>
        <v>0.11742520878519465</v>
      </c>
      <c r="Q300" s="336">
        <f t="shared" si="152"/>
        <v>4.23651319441701</v>
      </c>
      <c r="R300" s="692">
        <f t="shared" si="138"/>
        <v>0.19538040173090335</v>
      </c>
      <c r="S300" s="329">
        <f t="shared" si="139"/>
        <v>0.99692852554730038</v>
      </c>
      <c r="T300" s="330">
        <f t="shared" si="140"/>
        <v>0.11810839737600219</v>
      </c>
      <c r="U300" s="331">
        <f t="shared" si="141"/>
        <v>6.2064119987835467</v>
      </c>
      <c r="V300" s="332">
        <f t="shared" si="142"/>
        <v>-119.31873148902237</v>
      </c>
      <c r="W300" s="334">
        <f t="shared" si="143"/>
        <v>60.681268510977631</v>
      </c>
      <c r="Y300" s="307">
        <f t="shared" si="144"/>
        <v>1000000000</v>
      </c>
      <c r="Z300" s="307">
        <f t="shared" si="145"/>
        <v>412130601</v>
      </c>
      <c r="AB300" s="333">
        <f t="shared" si="146"/>
        <v>34.744219277348996</v>
      </c>
      <c r="AC300" s="334">
        <f t="shared" si="147"/>
        <v>-22.33074058305991</v>
      </c>
      <c r="AE300" s="333">
        <f t="shared" si="148"/>
        <v>-4.0164577873615528</v>
      </c>
      <c r="AF300" s="334">
        <f t="shared" si="149"/>
        <v>-92.521487353941595</v>
      </c>
      <c r="AH300">
        <f t="shared" si="150"/>
        <v>0</v>
      </c>
      <c r="AI300">
        <f t="shared" si="155"/>
        <v>0</v>
      </c>
    </row>
    <row r="301" spans="1:35" x14ac:dyDescent="0.25">
      <c r="A301" s="335">
        <v>20417</v>
      </c>
      <c r="B301" s="352">
        <f t="shared" si="151"/>
        <v>20.417000000000002</v>
      </c>
      <c r="C301" s="325">
        <f t="shared" si="126"/>
        <v>43.499026090821424</v>
      </c>
      <c r="D301" s="326">
        <f t="shared" si="127"/>
        <v>1.5478052809407508</v>
      </c>
      <c r="E301" s="326">
        <f t="shared" si="128"/>
        <v>1.0013156730519968</v>
      </c>
      <c r="F301" s="327">
        <f t="shared" si="129"/>
        <v>5.1268551243999282E-2</v>
      </c>
      <c r="G301" s="326">
        <f t="shared" si="130"/>
        <v>1</v>
      </c>
      <c r="H301" s="327">
        <f t="shared" si="131"/>
        <v>0</v>
      </c>
      <c r="I301" s="325">
        <f t="shared" si="132"/>
        <v>6737.0988273327266</v>
      </c>
      <c r="J301" s="328">
        <f t="shared" si="133"/>
        <v>1.5706478949506708</v>
      </c>
      <c r="K301" s="336">
        <f t="shared" si="153"/>
        <v>4.8690261096105889</v>
      </c>
      <c r="L301" s="337">
        <f t="shared" si="154"/>
        <v>1.3639444803844034</v>
      </c>
      <c r="M301" s="325">
        <f t="shared" si="134"/>
        <v>1.0169645361973643</v>
      </c>
      <c r="N301" s="337">
        <f t="shared" si="135"/>
        <v>0.18291051352251725</v>
      </c>
      <c r="O301" s="343">
        <f t="shared" si="136"/>
        <v>1.0070133665631869</v>
      </c>
      <c r="P301" s="691">
        <f t="shared" si="137"/>
        <v>0.11808997383590053</v>
      </c>
      <c r="Q301" s="336">
        <f t="shared" si="152"/>
        <v>4.2374207039000167</v>
      </c>
      <c r="R301" s="692">
        <f t="shared" si="138"/>
        <v>0.19646872296584644</v>
      </c>
      <c r="S301" s="329">
        <f t="shared" si="139"/>
        <v>0.99689385293634825</v>
      </c>
      <c r="T301" s="330">
        <f t="shared" si="140"/>
        <v>0.11879060327336026</v>
      </c>
      <c r="U301" s="331">
        <f t="shared" si="141"/>
        <v>6.1524750261281032</v>
      </c>
      <c r="V301" s="332">
        <f t="shared" si="142"/>
        <v>-119.36544409536722</v>
      </c>
      <c r="W301" s="334">
        <f t="shared" si="143"/>
        <v>60.634555904632776</v>
      </c>
      <c r="Y301" s="307">
        <f t="shared" si="144"/>
        <v>1000000000</v>
      </c>
      <c r="Z301" s="307">
        <f t="shared" si="145"/>
        <v>416853889</v>
      </c>
      <c r="AB301" s="333">
        <f t="shared" si="146"/>
        <v>34.740491938862604</v>
      </c>
      <c r="AC301" s="334">
        <f t="shared" si="147"/>
        <v>-22.323233744508933</v>
      </c>
      <c r="AE301" s="333">
        <f t="shared" si="148"/>
        <v>-4.0654901057850328</v>
      </c>
      <c r="AF301" s="334">
        <f t="shared" si="149"/>
        <v>-92.55143881706627</v>
      </c>
      <c r="AH301">
        <f t="shared" si="150"/>
        <v>0</v>
      </c>
      <c r="AI301">
        <f t="shared" si="155"/>
        <v>0</v>
      </c>
    </row>
    <row r="302" spans="1:35" x14ac:dyDescent="0.25">
      <c r="A302" s="335">
        <v>20536</v>
      </c>
      <c r="B302" s="352">
        <f t="shared" si="151"/>
        <v>20.536000000000001</v>
      </c>
      <c r="C302" s="325">
        <f t="shared" si="126"/>
        <v>43.752425529204857</v>
      </c>
      <c r="D302" s="326">
        <f t="shared" si="127"/>
        <v>1.5479384606639892</v>
      </c>
      <c r="E302" s="326">
        <f t="shared" si="128"/>
        <v>1.001331044262074</v>
      </c>
      <c r="F302" s="327">
        <f t="shared" si="129"/>
        <v>5.1566840858057877E-2</v>
      </c>
      <c r="G302" s="326">
        <f t="shared" si="130"/>
        <v>1</v>
      </c>
      <c r="H302" s="327">
        <f t="shared" si="131"/>
        <v>0</v>
      </c>
      <c r="I302" s="325">
        <f t="shared" si="132"/>
        <v>6776.3658471123417</v>
      </c>
      <c r="J302" s="328">
        <f t="shared" si="133"/>
        <v>1.570648755068961</v>
      </c>
      <c r="K302" s="336">
        <f t="shared" si="153"/>
        <v>4.8962113837832719</v>
      </c>
      <c r="L302" s="337">
        <f t="shared" si="154"/>
        <v>1.3651095093393062</v>
      </c>
      <c r="M302" s="325">
        <f t="shared" si="134"/>
        <v>1.0171611940464234</v>
      </c>
      <c r="N302" s="337">
        <f t="shared" si="135"/>
        <v>0.18395278210384927</v>
      </c>
      <c r="O302" s="343">
        <f t="shared" si="136"/>
        <v>1.0070950704617758</v>
      </c>
      <c r="P302" s="691">
        <f t="shared" si="137"/>
        <v>0.11877182213672263</v>
      </c>
      <c r="Q302" s="336">
        <f t="shared" si="152"/>
        <v>4.2383568528521387</v>
      </c>
      <c r="R302" s="692">
        <f t="shared" si="138"/>
        <v>0.19758470684740284</v>
      </c>
      <c r="S302" s="329">
        <f t="shared" si="139"/>
        <v>0.99685809092822475</v>
      </c>
      <c r="T302" s="330">
        <f t="shared" si="140"/>
        <v>0.11949058268283189</v>
      </c>
      <c r="U302" s="331">
        <f t="shared" si="141"/>
        <v>6.0974570245612183</v>
      </c>
      <c r="V302" s="332">
        <f t="shared" si="142"/>
        <v>-119.41397962779503</v>
      </c>
      <c r="W302" s="334">
        <f t="shared" si="143"/>
        <v>60.58602037220497</v>
      </c>
      <c r="Y302" s="307">
        <f t="shared" si="144"/>
        <v>1000000000</v>
      </c>
      <c r="Z302" s="307">
        <f t="shared" si="145"/>
        <v>421727296</v>
      </c>
      <c r="AB302" s="333">
        <f t="shared" si="146"/>
        <v>34.736695028858392</v>
      </c>
      <c r="AC302" s="334">
        <f t="shared" si="147"/>
        <v>-22.316249374351806</v>
      </c>
      <c r="AE302" s="333">
        <f t="shared" si="148"/>
        <v>-4.1154971856497298</v>
      </c>
      <c r="AF302" s="334">
        <f t="shared" si="149"/>
        <v>-92.582084583110202</v>
      </c>
      <c r="AH302">
        <f t="shared" si="150"/>
        <v>0</v>
      </c>
      <c r="AI302">
        <f t="shared" si="155"/>
        <v>0</v>
      </c>
    </row>
    <row r="303" spans="1:35" x14ac:dyDescent="0.25">
      <c r="A303" s="335">
        <v>20655</v>
      </c>
      <c r="B303" s="352">
        <f t="shared" si="151"/>
        <v>20.655000000000001</v>
      </c>
      <c r="C303" s="325">
        <f t="shared" si="126"/>
        <v>44.005825734680741</v>
      </c>
      <c r="D303" s="326">
        <f t="shared" si="127"/>
        <v>1.5480701066031077</v>
      </c>
      <c r="E303" s="326">
        <f t="shared" si="128"/>
        <v>1.0013465045645367</v>
      </c>
      <c r="F303" s="327">
        <f t="shared" si="129"/>
        <v>5.1865121287762987E-2</v>
      </c>
      <c r="G303" s="326">
        <f t="shared" si="130"/>
        <v>1</v>
      </c>
      <c r="H303" s="327">
        <f t="shared" si="131"/>
        <v>0</v>
      </c>
      <c r="I303" s="325">
        <f t="shared" si="132"/>
        <v>6815.6328668969109</v>
      </c>
      <c r="J303" s="328">
        <f t="shared" si="133"/>
        <v>1.5706496052764234</v>
      </c>
      <c r="K303" s="336">
        <f t="shared" si="153"/>
        <v>4.9234032301523909</v>
      </c>
      <c r="L303" s="337">
        <f t="shared" si="154"/>
        <v>1.3662616709857349</v>
      </c>
      <c r="M303" s="325">
        <f t="shared" si="134"/>
        <v>1.0173589564340062</v>
      </c>
      <c r="N303" s="337">
        <f t="shared" si="135"/>
        <v>0.18499464660757753</v>
      </c>
      <c r="O303" s="343">
        <f t="shared" si="136"/>
        <v>1.0071772424999981</v>
      </c>
      <c r="P303" s="691">
        <f t="shared" si="137"/>
        <v>0.11945355949525804</v>
      </c>
      <c r="Q303" s="336">
        <f t="shared" si="152"/>
        <v>4.2392982337537664</v>
      </c>
      <c r="R303" s="692">
        <f t="shared" si="138"/>
        <v>0.19870019856418597</v>
      </c>
      <c r="S303" s="329">
        <f t="shared" si="139"/>
        <v>0.99682213399099373</v>
      </c>
      <c r="T303" s="330">
        <f t="shared" si="140"/>
        <v>0.12019069477290728</v>
      </c>
      <c r="U303" s="331">
        <f t="shared" si="141"/>
        <v>6.0427527752511034</v>
      </c>
      <c r="V303" s="332">
        <f t="shared" si="142"/>
        <v>-119.46312708936983</v>
      </c>
      <c r="W303" s="334">
        <f t="shared" si="143"/>
        <v>60.536872910630166</v>
      </c>
      <c r="Y303" s="307">
        <f t="shared" si="144"/>
        <v>1000000000</v>
      </c>
      <c r="Z303" s="307">
        <f t="shared" si="145"/>
        <v>426629025</v>
      </c>
      <c r="AB303" s="333">
        <f t="shared" si="146"/>
        <v>34.73292449885345</v>
      </c>
      <c r="AC303" s="334">
        <f t="shared" si="147"/>
        <v>-22.309978526874858</v>
      </c>
      <c r="AE303" s="333">
        <f t="shared" si="148"/>
        <v>-4.1652105773341344</v>
      </c>
      <c r="AF303" s="334">
        <f t="shared" si="149"/>
        <v>-92.612650598060611</v>
      </c>
      <c r="AH303">
        <f t="shared" si="150"/>
        <v>0</v>
      </c>
      <c r="AI303">
        <f t="shared" si="155"/>
        <v>0</v>
      </c>
    </row>
    <row r="304" spans="1:35" x14ac:dyDescent="0.25">
      <c r="A304" s="335">
        <v>20774</v>
      </c>
      <c r="B304" s="352">
        <f t="shared" si="151"/>
        <v>20.774000000000001</v>
      </c>
      <c r="C304" s="325">
        <f t="shared" si="126"/>
        <v>44.259226694073433</v>
      </c>
      <c r="D304" s="326">
        <f t="shared" si="127"/>
        <v>1.5482002450980015</v>
      </c>
      <c r="E304" s="326">
        <f t="shared" si="128"/>
        <v>1.001362053955259</v>
      </c>
      <c r="F304" s="327">
        <f t="shared" si="129"/>
        <v>5.2163392480464518E-2</v>
      </c>
      <c r="G304" s="326">
        <f t="shared" si="130"/>
        <v>1</v>
      </c>
      <c r="H304" s="327">
        <f t="shared" si="131"/>
        <v>0</v>
      </c>
      <c r="I304" s="325">
        <f t="shared" si="132"/>
        <v>6854.8998866863503</v>
      </c>
      <c r="J304" s="328">
        <f t="shared" si="133"/>
        <v>1.5706504457433748</v>
      </c>
      <c r="K304" s="336">
        <f t="shared" si="153"/>
        <v>4.9506015404219221</v>
      </c>
      <c r="L304" s="337">
        <f t="shared" si="154"/>
        <v>1.3674011743159602</v>
      </c>
      <c r="M304" s="325">
        <f t="shared" si="134"/>
        <v>1.0175578227161115</v>
      </c>
      <c r="N304" s="337">
        <f t="shared" si="135"/>
        <v>0.1860361050081121</v>
      </c>
      <c r="O304" s="343">
        <f t="shared" si="136"/>
        <v>1.007259882563281</v>
      </c>
      <c r="P304" s="691">
        <f t="shared" si="137"/>
        <v>0.12013518530504019</v>
      </c>
      <c r="Q304" s="336">
        <f t="shared" si="152"/>
        <v>4.2402448431205002</v>
      </c>
      <c r="R304" s="692">
        <f t="shared" si="138"/>
        <v>0.19981519570378764</v>
      </c>
      <c r="S304" s="329">
        <f t="shared" si="139"/>
        <v>0.99678598235037885</v>
      </c>
      <c r="T304" s="330">
        <f t="shared" si="140"/>
        <v>0.12089094031162775</v>
      </c>
      <c r="U304" s="331">
        <f t="shared" si="141"/>
        <v>5.9883581754585027</v>
      </c>
      <c r="V304" s="332">
        <f t="shared" si="142"/>
        <v>-119.51287585213154</v>
      </c>
      <c r="W304" s="334">
        <f t="shared" si="143"/>
        <v>60.487124147868457</v>
      </c>
      <c r="Y304" s="307">
        <f t="shared" si="144"/>
        <v>1000000000</v>
      </c>
      <c r="Z304" s="307">
        <f t="shared" si="145"/>
        <v>431559076</v>
      </c>
      <c r="AB304" s="333">
        <f t="shared" si="146"/>
        <v>34.729179576522881</v>
      </c>
      <c r="AC304" s="334">
        <f t="shared" si="147"/>
        <v>-22.304409121403687</v>
      </c>
      <c r="AE304" s="333">
        <f t="shared" si="148"/>
        <v>-4.2146336233759438</v>
      </c>
      <c r="AF304" s="334">
        <f t="shared" si="149"/>
        <v>-92.643138418104471</v>
      </c>
      <c r="AH304">
        <f t="shared" si="150"/>
        <v>0</v>
      </c>
      <c r="AI304">
        <f t="shared" si="155"/>
        <v>0</v>
      </c>
    </row>
    <row r="305" spans="1:35" x14ac:dyDescent="0.25">
      <c r="A305" s="335">
        <v>20893</v>
      </c>
      <c r="B305" s="352">
        <f t="shared" si="151"/>
        <v>20.893000000000001</v>
      </c>
      <c r="C305" s="325">
        <f t="shared" si="126"/>
        <v>44.51262839450726</v>
      </c>
      <c r="D305" s="326">
        <f t="shared" si="127"/>
        <v>1.548328901888981</v>
      </c>
      <c r="E305" s="326">
        <f t="shared" si="128"/>
        <v>1.0013776924300903</v>
      </c>
      <c r="F305" s="327">
        <f t="shared" si="129"/>
        <v>5.246165438352219E-2</v>
      </c>
      <c r="G305" s="326">
        <f t="shared" si="130"/>
        <v>1</v>
      </c>
      <c r="H305" s="327">
        <f t="shared" si="131"/>
        <v>0</v>
      </c>
      <c r="I305" s="325">
        <f t="shared" si="132"/>
        <v>6894.1669064805774</v>
      </c>
      <c r="J305" s="328">
        <f t="shared" si="133"/>
        <v>1.5706512766362521</v>
      </c>
      <c r="K305" s="336">
        <f t="shared" si="153"/>
        <v>4.9778062086372596</v>
      </c>
      <c r="L305" s="337">
        <f t="shared" si="154"/>
        <v>1.3685282238866472</v>
      </c>
      <c r="M305" s="325">
        <f t="shared" si="134"/>
        <v>1.0177577922456484</v>
      </c>
      <c r="N305" s="337">
        <f t="shared" si="135"/>
        <v>0.18707715528496568</v>
      </c>
      <c r="O305" s="343">
        <f t="shared" si="136"/>
        <v>1.0073429905364379</v>
      </c>
      <c r="P305" s="691">
        <f t="shared" si="137"/>
        <v>0.12081669896021549</v>
      </c>
      <c r="Q305" s="336">
        <f t="shared" si="152"/>
        <v>4.2411966774517049</v>
      </c>
      <c r="R305" s="692">
        <f t="shared" si="138"/>
        <v>0.20092969586082474</v>
      </c>
      <c r="S305" s="329">
        <f t="shared" si="139"/>
        <v>0.99674963623344903</v>
      </c>
      <c r="T305" s="330">
        <f t="shared" si="140"/>
        <v>0.12159132006700873</v>
      </c>
      <c r="U305" s="331">
        <f t="shared" si="141"/>
        <v>5.9342692010045592</v>
      </c>
      <c r="V305" s="332">
        <f t="shared" si="142"/>
        <v>-119.56321550834305</v>
      </c>
      <c r="W305" s="334">
        <f t="shared" si="143"/>
        <v>60.436784491656951</v>
      </c>
      <c r="Y305" s="307">
        <f t="shared" si="144"/>
        <v>1000000000</v>
      </c>
      <c r="Z305" s="307">
        <f t="shared" si="145"/>
        <v>436517449</v>
      </c>
      <c r="AB305" s="333">
        <f t="shared" si="146"/>
        <v>34.725459510934755</v>
      </c>
      <c r="AC305" s="334">
        <f t="shared" si="147"/>
        <v>-22.299529331475458</v>
      </c>
      <c r="AE305" s="333">
        <f t="shared" si="148"/>
        <v>-4.2637696091954975</v>
      </c>
      <c r="AF305" s="334">
        <f t="shared" si="149"/>
        <v>-92.673549565073031</v>
      </c>
      <c r="AH305">
        <f t="shared" si="150"/>
        <v>0</v>
      </c>
      <c r="AI305">
        <f t="shared" si="155"/>
        <v>0</v>
      </c>
    </row>
    <row r="306" spans="1:35" x14ac:dyDescent="0.25">
      <c r="A306" s="335">
        <v>21014.75</v>
      </c>
      <c r="B306" s="352">
        <f t="shared" si="151"/>
        <v>21.014749999999999</v>
      </c>
      <c r="C306" s="325">
        <f t="shared" si="126"/>
        <v>44.771886770393792</v>
      </c>
      <c r="D306" s="326">
        <f t="shared" si="127"/>
        <v>1.5484590246135528</v>
      </c>
      <c r="E306" s="326">
        <f t="shared" si="128"/>
        <v>1.0013937844897907</v>
      </c>
      <c r="F306" s="327">
        <f t="shared" si="129"/>
        <v>5.2766799224555627E-2</v>
      </c>
      <c r="G306" s="326">
        <f t="shared" si="130"/>
        <v>1</v>
      </c>
      <c r="H306" s="327">
        <f t="shared" si="131"/>
        <v>0</v>
      </c>
      <c r="I306" s="325">
        <f t="shared" si="132"/>
        <v>6934.341357409372</v>
      </c>
      <c r="J306" s="328">
        <f t="shared" si="133"/>
        <v>1.5706521169915535</v>
      </c>
      <c r="K306" s="336">
        <f t="shared" si="153"/>
        <v>5.0056460280845618</v>
      </c>
      <c r="L306" s="337">
        <f t="shared" si="154"/>
        <v>1.3696686387417207</v>
      </c>
      <c r="M306" s="325">
        <f t="shared" si="134"/>
        <v>1.0179635240265308</v>
      </c>
      <c r="N306" s="337">
        <f t="shared" si="135"/>
        <v>0.18814183896476644</v>
      </c>
      <c r="O306" s="343">
        <f t="shared" si="136"/>
        <v>1.0074285032056061</v>
      </c>
      <c r="P306" s="691">
        <f t="shared" si="137"/>
        <v>0.12151384517706472</v>
      </c>
      <c r="Q306" s="336">
        <f t="shared" si="152"/>
        <v>4.2421759117637432</v>
      </c>
      <c r="R306" s="692">
        <f t="shared" si="138"/>
        <v>0.20206943442980038</v>
      </c>
      <c r="S306" s="329">
        <f t="shared" si="139"/>
        <v>0.99671224915392231</v>
      </c>
      <c r="T306" s="330">
        <f t="shared" si="140"/>
        <v>0.12230802477474302</v>
      </c>
      <c r="U306" s="331">
        <f t="shared" si="141"/>
        <v>5.8792424558451959</v>
      </c>
      <c r="V306" s="332">
        <f t="shared" si="142"/>
        <v>-119.61531938063118</v>
      </c>
      <c r="W306" s="334">
        <f t="shared" si="143"/>
        <v>60.384680619368822</v>
      </c>
      <c r="Y306" s="307">
        <f t="shared" si="144"/>
        <v>1000000000</v>
      </c>
      <c r="Z306" s="307">
        <f t="shared" si="145"/>
        <v>441619717.5625</v>
      </c>
      <c r="AB306" s="333">
        <f t="shared" si="146"/>
        <v>34.721678441018568</v>
      </c>
      <c r="AC306" s="334">
        <f t="shared" si="147"/>
        <v>-22.295238403561914</v>
      </c>
      <c r="AE306" s="333">
        <f t="shared" si="148"/>
        <v>-4.3137473708229361</v>
      </c>
      <c r="AF306" s="334">
        <f t="shared" si="149"/>
        <v>-92.704585691424128</v>
      </c>
      <c r="AH306">
        <f t="shared" si="150"/>
        <v>0</v>
      </c>
      <c r="AI306">
        <f t="shared" si="155"/>
        <v>0</v>
      </c>
    </row>
    <row r="307" spans="1:35" x14ac:dyDescent="0.25">
      <c r="A307" s="335">
        <v>21136.5</v>
      </c>
      <c r="B307" s="352">
        <f t="shared" si="151"/>
        <v>21.136500000000002</v>
      </c>
      <c r="C307" s="325">
        <f t="shared" si="126"/>
        <v>45.031145895625528</v>
      </c>
      <c r="D307" s="326">
        <f t="shared" si="127"/>
        <v>1.5485876490215924</v>
      </c>
      <c r="E307" s="326">
        <f t="shared" si="128"/>
        <v>1.001409969789643</v>
      </c>
      <c r="F307" s="327">
        <f t="shared" si="129"/>
        <v>5.3071934230186635E-2</v>
      </c>
      <c r="G307" s="326">
        <f t="shared" si="130"/>
        <v>1</v>
      </c>
      <c r="H307" s="327">
        <f t="shared" si="131"/>
        <v>0</v>
      </c>
      <c r="I307" s="325">
        <f t="shared" si="132"/>
        <v>6974.5158083430078</v>
      </c>
      <c r="J307" s="328">
        <f t="shared" si="133"/>
        <v>1.570652947665663</v>
      </c>
      <c r="K307" s="336">
        <f t="shared" si="153"/>
        <v>5.0334922855867585</v>
      </c>
      <c r="L307" s="337">
        <f t="shared" si="154"/>
        <v>1.3707964370568559</v>
      </c>
      <c r="M307" s="325">
        <f t="shared" si="134"/>
        <v>1.0181704092542447</v>
      </c>
      <c r="N307" s="337">
        <f t="shared" si="135"/>
        <v>0.18920609117773521</v>
      </c>
      <c r="O307" s="343">
        <f t="shared" si="136"/>
        <v>1.0075145054147179</v>
      </c>
      <c r="P307" s="691">
        <f t="shared" si="137"/>
        <v>0.12221087271476121</v>
      </c>
      <c r="Q307" s="336">
        <f t="shared" si="152"/>
        <v>4.2431606078554935</v>
      </c>
      <c r="R307" s="692">
        <f t="shared" si="138"/>
        <v>0.20320864770977684</v>
      </c>
      <c r="S307" s="329">
        <f t="shared" si="139"/>
        <v>0.9966746589909965</v>
      </c>
      <c r="T307" s="330">
        <f t="shared" si="140"/>
        <v>0.12302487160044349</v>
      </c>
      <c r="U307" s="331">
        <f t="shared" si="141"/>
        <v>5.8245273461160982</v>
      </c>
      <c r="V307" s="332">
        <f t="shared" si="142"/>
        <v>-119.66802041353556</v>
      </c>
      <c r="W307" s="334">
        <f t="shared" si="143"/>
        <v>60.331979586464442</v>
      </c>
      <c r="Y307" s="307">
        <f t="shared" si="144"/>
        <v>1000000000</v>
      </c>
      <c r="Z307" s="307">
        <f t="shared" si="145"/>
        <v>446751632.25</v>
      </c>
      <c r="AB307" s="333">
        <f t="shared" si="146"/>
        <v>34.717921865341033</v>
      </c>
      <c r="AC307" s="334">
        <f t="shared" si="147"/>
        <v>-22.291645074219787</v>
      </c>
      <c r="AE307" s="333">
        <f t="shared" si="148"/>
        <v>-4.3634314314217191</v>
      </c>
      <c r="AF307" s="334">
        <f t="shared" si="149"/>
        <v>-92.735544676848164</v>
      </c>
      <c r="AH307">
        <f t="shared" si="150"/>
        <v>0</v>
      </c>
      <c r="AI307">
        <f t="shared" si="155"/>
        <v>0</v>
      </c>
    </row>
    <row r="308" spans="1:35" x14ac:dyDescent="0.25">
      <c r="A308" s="335">
        <v>21258.25</v>
      </c>
      <c r="B308" s="352">
        <f t="shared" si="151"/>
        <v>21.25825</v>
      </c>
      <c r="C308" s="325">
        <f t="shared" si="126"/>
        <v>45.290405757333893</v>
      </c>
      <c r="D308" s="326">
        <f t="shared" si="127"/>
        <v>1.5487148008396432</v>
      </c>
      <c r="E308" s="326">
        <f t="shared" si="128"/>
        <v>1.0014262483251271</v>
      </c>
      <c r="F308" s="327">
        <f t="shared" si="129"/>
        <v>5.3377059344072844E-2</v>
      </c>
      <c r="G308" s="326">
        <f t="shared" si="130"/>
        <v>1</v>
      </c>
      <c r="H308" s="327">
        <f t="shared" si="131"/>
        <v>0</v>
      </c>
      <c r="I308" s="325">
        <f t="shared" si="132"/>
        <v>7014.6902592814004</v>
      </c>
      <c r="J308" s="328">
        <f t="shared" si="133"/>
        <v>1.5706537688249187</v>
      </c>
      <c r="K308" s="336">
        <f t="shared" si="153"/>
        <v>5.0613448748821339</v>
      </c>
      <c r="L308" s="337">
        <f t="shared" si="154"/>
        <v>1.3719118242256814</v>
      </c>
      <c r="M308" s="325">
        <f t="shared" si="134"/>
        <v>1.0183784472258164</v>
      </c>
      <c r="N308" s="337">
        <f t="shared" si="135"/>
        <v>0.19026990977675534</v>
      </c>
      <c r="O308" s="343">
        <f t="shared" si="136"/>
        <v>1.0076009970384212</v>
      </c>
      <c r="P308" s="691">
        <f t="shared" si="137"/>
        <v>0.12290778092648304</v>
      </c>
      <c r="Q308" s="336">
        <f t="shared" si="152"/>
        <v>4.2441507619256251</v>
      </c>
      <c r="R308" s="692">
        <f t="shared" si="138"/>
        <v>0.20434733314771925</v>
      </c>
      <c r="S308" s="329">
        <f t="shared" si="139"/>
        <v>0.99663686599222334</v>
      </c>
      <c r="T308" s="330">
        <f t="shared" si="140"/>
        <v>0.12374186136652361</v>
      </c>
      <c r="U308" s="331">
        <f t="shared" si="141"/>
        <v>5.7701198047216415</v>
      </c>
      <c r="V308" s="332">
        <f t="shared" si="142"/>
        <v>-119.72130814053124</v>
      </c>
      <c r="W308" s="334">
        <f t="shared" si="143"/>
        <v>60.278691859468765</v>
      </c>
      <c r="Y308" s="307">
        <f t="shared" si="144"/>
        <v>1000000000</v>
      </c>
      <c r="Z308" s="307">
        <f t="shared" si="145"/>
        <v>451913193.0625</v>
      </c>
      <c r="AB308" s="333">
        <f t="shared" si="146"/>
        <v>34.714189044810084</v>
      </c>
      <c r="AC308" s="334">
        <f t="shared" si="147"/>
        <v>-22.288737461770754</v>
      </c>
      <c r="AE308" s="333">
        <f t="shared" si="148"/>
        <v>-4.4128251321928413</v>
      </c>
      <c r="AF308" s="334">
        <f t="shared" si="149"/>
        <v>-92.766428045716523</v>
      </c>
      <c r="AH308">
        <f t="shared" si="150"/>
        <v>0</v>
      </c>
      <c r="AI308">
        <f t="shared" si="155"/>
        <v>0</v>
      </c>
    </row>
    <row r="309" spans="1:35" x14ac:dyDescent="0.25">
      <c r="A309" s="335">
        <v>21380</v>
      </c>
      <c r="B309" s="352">
        <f t="shared" si="151"/>
        <v>21.38</v>
      </c>
      <c r="C309" s="325">
        <f t="shared" si="126"/>
        <v>45.549666342943219</v>
      </c>
      <c r="D309" s="326">
        <f t="shared" si="127"/>
        <v>1.5488405052087175</v>
      </c>
      <c r="E309" s="326">
        <f t="shared" si="128"/>
        <v>1.0014426200916955</v>
      </c>
      <c r="F309" s="327">
        <f t="shared" si="129"/>
        <v>5.3682174509882899E-2</v>
      </c>
      <c r="G309" s="326">
        <f t="shared" si="130"/>
        <v>1</v>
      </c>
      <c r="H309" s="327">
        <f t="shared" si="131"/>
        <v>0</v>
      </c>
      <c r="I309" s="325">
        <f t="shared" si="132"/>
        <v>7054.8647102244695</v>
      </c>
      <c r="J309" s="328">
        <f t="shared" si="133"/>
        <v>1.5706545806318697</v>
      </c>
      <c r="K309" s="336">
        <f t="shared" si="153"/>
        <v>5.0892036920112975</v>
      </c>
      <c r="L309" s="337">
        <f t="shared" si="154"/>
        <v>1.3730150012695064</v>
      </c>
      <c r="M309" s="325">
        <f t="shared" si="134"/>
        <v>1.0185876372349312</v>
      </c>
      <c r="N309" s="337">
        <f t="shared" si="135"/>
        <v>0.19133329262038534</v>
      </c>
      <c r="O309" s="343">
        <f t="shared" si="136"/>
        <v>1.0076879779506942</v>
      </c>
      <c r="P309" s="691">
        <f t="shared" si="137"/>
        <v>0.12360456916609341</v>
      </c>
      <c r="Q309" s="336">
        <f t="shared" si="152"/>
        <v>4.2451463701552932</v>
      </c>
      <c r="R309" s="692">
        <f t="shared" si="138"/>
        <v>0.20548548819839721</v>
      </c>
      <c r="S309" s="329">
        <f t="shared" si="139"/>
        <v>0.99659887040663175</v>
      </c>
      <c r="T309" s="330">
        <f t="shared" si="140"/>
        <v>0.12445899489536637</v>
      </c>
      <c r="U309" s="331">
        <f t="shared" si="141"/>
        <v>5.7160158422544507</v>
      </c>
      <c r="V309" s="332">
        <f t="shared" si="142"/>
        <v>-119.77517231257386</v>
      </c>
      <c r="W309" s="334">
        <f t="shared" si="143"/>
        <v>60.224827687426142</v>
      </c>
      <c r="Y309" s="307">
        <f t="shared" si="144"/>
        <v>1000000000</v>
      </c>
      <c r="Z309" s="307">
        <f t="shared" si="145"/>
        <v>457104400</v>
      </c>
      <c r="AB309" s="333">
        <f t="shared" si="146"/>
        <v>34.7104792608841</v>
      </c>
      <c r="AC309" s="334">
        <f t="shared" si="147"/>
        <v>-22.286503935159999</v>
      </c>
      <c r="AE309" s="333">
        <f t="shared" si="148"/>
        <v>-4.4619317572529242</v>
      </c>
      <c r="AF309" s="334">
        <f t="shared" si="149"/>
        <v>-92.797237288849686</v>
      </c>
      <c r="AH309">
        <f t="shared" si="150"/>
        <v>0</v>
      </c>
      <c r="AI309">
        <f t="shared" si="155"/>
        <v>0</v>
      </c>
    </row>
    <row r="310" spans="1:35" x14ac:dyDescent="0.25">
      <c r="A310" s="335">
        <v>21504.5</v>
      </c>
      <c r="B310" s="352">
        <f t="shared" si="151"/>
        <v>21.5045</v>
      </c>
      <c r="C310" s="325">
        <f t="shared" si="126"/>
        <v>45.814783652946652</v>
      </c>
      <c r="D310" s="326">
        <f t="shared" si="127"/>
        <v>1.5489675776359846</v>
      </c>
      <c r="E310" s="326">
        <f t="shared" si="128"/>
        <v>1.0014594580606155</v>
      </c>
      <c r="F310" s="327">
        <f t="shared" si="129"/>
        <v>5.3994171047672311E-2</v>
      </c>
      <c r="G310" s="326">
        <f t="shared" si="130"/>
        <v>1</v>
      </c>
      <c r="H310" s="327">
        <f t="shared" si="131"/>
        <v>0</v>
      </c>
      <c r="I310" s="325">
        <f t="shared" si="132"/>
        <v>7095.9465923024227</v>
      </c>
      <c r="J310" s="328">
        <f t="shared" si="133"/>
        <v>1.5706554012692739</v>
      </c>
      <c r="K310" s="336">
        <f t="shared" si="153"/>
        <v>5.1176980981941176</v>
      </c>
      <c r="L310" s="337">
        <f t="shared" si="154"/>
        <v>1.3741306741274066</v>
      </c>
      <c r="M310" s="325">
        <f t="shared" si="134"/>
        <v>1.0188027428991311</v>
      </c>
      <c r="N310" s="337">
        <f t="shared" si="135"/>
        <v>0.19242024152276668</v>
      </c>
      <c r="O310" s="343">
        <f t="shared" si="136"/>
        <v>1.0077774293831463</v>
      </c>
      <c r="P310" s="691">
        <f t="shared" si="137"/>
        <v>0.12431697120912182</v>
      </c>
      <c r="Q310" s="336">
        <f t="shared" si="152"/>
        <v>4.2461701028013472</v>
      </c>
      <c r="R310" s="692">
        <f t="shared" si="138"/>
        <v>0.20664879992707277</v>
      </c>
      <c r="S310" s="329">
        <f t="shared" si="139"/>
        <v>0.99655980736322258</v>
      </c>
      <c r="T310" s="330">
        <f t="shared" si="140"/>
        <v>0.12519247603920397</v>
      </c>
      <c r="U310" s="331">
        <f t="shared" si="141"/>
        <v>5.6609996836196483</v>
      </c>
      <c r="V310" s="332">
        <f t="shared" si="142"/>
        <v>-119.83083879503545</v>
      </c>
      <c r="W310" s="334">
        <f t="shared" si="143"/>
        <v>60.169161204964553</v>
      </c>
      <c r="Y310" s="307">
        <f t="shared" si="144"/>
        <v>1000000000</v>
      </c>
      <c r="Z310" s="307">
        <f t="shared" si="145"/>
        <v>462443520.25</v>
      </c>
      <c r="AB310" s="333">
        <f t="shared" si="146"/>
        <v>34.706708778223089</v>
      </c>
      <c r="AC310" s="334">
        <f t="shared" si="147"/>
        <v>-22.284905192795797</v>
      </c>
      <c r="AE310" s="333">
        <f t="shared" si="148"/>
        <v>-4.511854054878234</v>
      </c>
      <c r="AF310" s="334">
        <f t="shared" si="149"/>
        <v>-92.828667291716798</v>
      </c>
      <c r="AH310">
        <f t="shared" si="150"/>
        <v>0</v>
      </c>
      <c r="AI310">
        <f t="shared" si="155"/>
        <v>0</v>
      </c>
    </row>
    <row r="311" spans="1:35" x14ac:dyDescent="0.25">
      <c r="A311" s="335">
        <v>21629</v>
      </c>
      <c r="B311" s="352">
        <f t="shared" si="151"/>
        <v>21.629000000000001</v>
      </c>
      <c r="C311" s="325">
        <f t="shared" si="126"/>
        <v>46.079901694227146</v>
      </c>
      <c r="D311" s="326">
        <f t="shared" si="127"/>
        <v>1.5490931878575831</v>
      </c>
      <c r="E311" s="326">
        <f t="shared" si="128"/>
        <v>1.001476393510158</v>
      </c>
      <c r="F311" s="327">
        <f t="shared" si="129"/>
        <v>5.4306157063805857E-2</v>
      </c>
      <c r="G311" s="326">
        <f t="shared" si="130"/>
        <v>1</v>
      </c>
      <c r="H311" s="327">
        <f t="shared" si="131"/>
        <v>0</v>
      </c>
      <c r="I311" s="325">
        <f t="shared" si="132"/>
        <v>7137.0284743850998</v>
      </c>
      <c r="J311" s="328">
        <f t="shared" si="133"/>
        <v>1.5706562124592371</v>
      </c>
      <c r="K311" s="336">
        <f t="shared" si="153"/>
        <v>5.1461988039612478</v>
      </c>
      <c r="L311" s="337">
        <f t="shared" si="154"/>
        <v>1.3752339906951976</v>
      </c>
      <c r="M311" s="325">
        <f t="shared" si="134"/>
        <v>1.0190190517268987</v>
      </c>
      <c r="N311" s="337">
        <f t="shared" si="135"/>
        <v>0.19350673025152093</v>
      </c>
      <c r="O311" s="343">
        <f t="shared" si="136"/>
        <v>1.0078673921885049</v>
      </c>
      <c r="P311" s="691">
        <f t="shared" si="137"/>
        <v>0.12502924643478103</v>
      </c>
      <c r="Q311" s="336">
        <f t="shared" si="152"/>
        <v>4.2471995306461405</v>
      </c>
      <c r="R311" s="692">
        <f t="shared" si="138"/>
        <v>0.20781155167984486</v>
      </c>
      <c r="S311" s="329">
        <f t="shared" si="139"/>
        <v>0.996520533009293</v>
      </c>
      <c r="T311" s="330">
        <f t="shared" si="140"/>
        <v>0.12592610925279729</v>
      </c>
      <c r="U311" s="331">
        <f t="shared" si="141"/>
        <v>5.6062927755626131</v>
      </c>
      <c r="V311" s="332">
        <f t="shared" si="142"/>
        <v>-119.88708705289838</v>
      </c>
      <c r="W311" s="334">
        <f t="shared" si="143"/>
        <v>60.11291294710162</v>
      </c>
      <c r="Y311" s="307">
        <f t="shared" si="144"/>
        <v>1000000000</v>
      </c>
      <c r="Z311" s="307">
        <f t="shared" si="145"/>
        <v>467813641</v>
      </c>
      <c r="AB311" s="333">
        <f t="shared" si="146"/>
        <v>34.702960927823938</v>
      </c>
      <c r="AC311" s="334">
        <f t="shared" si="147"/>
        <v>-22.283987506400898</v>
      </c>
      <c r="AE311" s="333">
        <f t="shared" si="148"/>
        <v>-4.5614829305176654</v>
      </c>
      <c r="AF311" s="334">
        <f t="shared" si="149"/>
        <v>-92.860022832171879</v>
      </c>
      <c r="AH311">
        <f t="shared" si="150"/>
        <v>0</v>
      </c>
      <c r="AI311">
        <f t="shared" si="155"/>
        <v>0</v>
      </c>
    </row>
    <row r="312" spans="1:35" x14ac:dyDescent="0.25">
      <c r="A312" s="335">
        <v>21753.5</v>
      </c>
      <c r="B312" s="352">
        <f t="shared" si="151"/>
        <v>21.753499999999999</v>
      </c>
      <c r="C312" s="325">
        <f t="shared" si="126"/>
        <v>46.34502045423482</v>
      </c>
      <c r="D312" s="326">
        <f t="shared" si="127"/>
        <v>1.5492173609633535</v>
      </c>
      <c r="E312" s="326">
        <f t="shared" si="128"/>
        <v>1.0014934264353776</v>
      </c>
      <c r="F312" s="327">
        <f t="shared" si="129"/>
        <v>5.4618132498084372E-2</v>
      </c>
      <c r="G312" s="326">
        <f t="shared" si="130"/>
        <v>1</v>
      </c>
      <c r="H312" s="327">
        <f t="shared" si="131"/>
        <v>0</v>
      </c>
      <c r="I312" s="325">
        <f t="shared" si="132"/>
        <v>7178.1103564724181</v>
      </c>
      <c r="J312" s="328">
        <f t="shared" si="133"/>
        <v>1.570657014363968</v>
      </c>
      <c r="K312" s="336">
        <f t="shared" si="153"/>
        <v>5.1747057052241052</v>
      </c>
      <c r="L312" s="337">
        <f t="shared" si="154"/>
        <v>1.3763251524727433</v>
      </c>
      <c r="M312" s="325">
        <f t="shared" si="134"/>
        <v>1.0192365629522049</v>
      </c>
      <c r="N312" s="337">
        <f t="shared" si="135"/>
        <v>0.19459275653534294</v>
      </c>
      <c r="O312" s="343">
        <f t="shared" si="136"/>
        <v>1.0079578662298458</v>
      </c>
      <c r="P312" s="691">
        <f t="shared" si="137"/>
        <v>0.12574139415439881</v>
      </c>
      <c r="Q312" s="336">
        <f t="shared" si="152"/>
        <v>4.2482346495498096</v>
      </c>
      <c r="R312" s="692">
        <f t="shared" si="138"/>
        <v>0.20897374076057834</v>
      </c>
      <c r="S312" s="329">
        <f t="shared" si="139"/>
        <v>0.9964810476159256</v>
      </c>
      <c r="T312" s="330">
        <f t="shared" si="140"/>
        <v>0.1266598954154213</v>
      </c>
      <c r="U312" s="331">
        <f t="shared" si="141"/>
        <v>5.5518910916732445</v>
      </c>
      <c r="V312" s="332">
        <f t="shared" si="142"/>
        <v>-119.94390679657937</v>
      </c>
      <c r="W312" s="334">
        <f t="shared" si="143"/>
        <v>60.05609320342063</v>
      </c>
      <c r="Y312" s="307">
        <f t="shared" si="144"/>
        <v>1000000000</v>
      </c>
      <c r="Z312" s="307">
        <f t="shared" si="145"/>
        <v>473214762.25</v>
      </c>
      <c r="AB312" s="333">
        <f t="shared" si="146"/>
        <v>34.69923500377773</v>
      </c>
      <c r="AC312" s="334">
        <f t="shared" si="147"/>
        <v>-22.283739210041173</v>
      </c>
      <c r="AE312" s="333">
        <f t="shared" si="148"/>
        <v>-4.610821719012594</v>
      </c>
      <c r="AF312" s="334">
        <f t="shared" si="149"/>
        <v>-92.891305401584845</v>
      </c>
      <c r="AH312">
        <f t="shared" si="150"/>
        <v>0</v>
      </c>
      <c r="AI312">
        <f t="shared" si="155"/>
        <v>0</v>
      </c>
    </row>
    <row r="313" spans="1:35" x14ac:dyDescent="0.25">
      <c r="A313" s="335">
        <v>21878</v>
      </c>
      <c r="B313" s="352">
        <f t="shared" si="151"/>
        <v>21.878</v>
      </c>
      <c r="C313" s="325">
        <f t="shared" si="126"/>
        <v>46.610139920705315</v>
      </c>
      <c r="D313" s="326">
        <f t="shared" si="127"/>
        <v>1.5493401214724694</v>
      </c>
      <c r="E313" s="326">
        <f t="shared" si="128"/>
        <v>1.001510556831301</v>
      </c>
      <c r="F313" s="327">
        <f t="shared" si="129"/>
        <v>5.4930097290320994E-2</v>
      </c>
      <c r="G313" s="326">
        <f t="shared" si="130"/>
        <v>1</v>
      </c>
      <c r="H313" s="327">
        <f t="shared" si="131"/>
        <v>0</v>
      </c>
      <c r="I313" s="325">
        <f t="shared" si="132"/>
        <v>7219.1922385643011</v>
      </c>
      <c r="J313" s="328">
        <f t="shared" si="133"/>
        <v>1.5706578071419837</v>
      </c>
      <c r="K313" s="336">
        <f t="shared" si="153"/>
        <v>5.2032187001528065</v>
      </c>
      <c r="L313" s="337">
        <f t="shared" si="154"/>
        <v>1.3774043566603515</v>
      </c>
      <c r="M313" s="325">
        <f t="shared" si="134"/>
        <v>1.0194552758054187</v>
      </c>
      <c r="N313" s="337">
        <f t="shared" si="135"/>
        <v>0.19567831810922395</v>
      </c>
      <c r="O313" s="343">
        <f t="shared" si="136"/>
        <v>1.0080488513695165</v>
      </c>
      <c r="P313" s="691">
        <f t="shared" si="137"/>
        <v>0.12645341368006682</v>
      </c>
      <c r="Q313" s="336">
        <f t="shared" si="152"/>
        <v>4.2492754553536454</v>
      </c>
      <c r="R313" s="692">
        <f t="shared" si="138"/>
        <v>0.21013536448178652</v>
      </c>
      <c r="S313" s="329">
        <f t="shared" si="139"/>
        <v>0.99644135145582025</v>
      </c>
      <c r="T313" s="330">
        <f t="shared" si="140"/>
        <v>0.12739383540631524</v>
      </c>
      <c r="U313" s="331">
        <f t="shared" si="141"/>
        <v>5.4977906822321945</v>
      </c>
      <c r="V313" s="332">
        <f t="shared" si="142"/>
        <v>-120.00128795074278</v>
      </c>
      <c r="W313" s="334">
        <f t="shared" si="143"/>
        <v>59.998712049257222</v>
      </c>
      <c r="Y313" s="307">
        <f t="shared" si="144"/>
        <v>1000000000</v>
      </c>
      <c r="Z313" s="307">
        <f t="shared" si="145"/>
        <v>478646884</v>
      </c>
      <c r="AB313" s="333">
        <f t="shared" si="146"/>
        <v>34.695530319872773</v>
      </c>
      <c r="AC313" s="334">
        <f t="shared" si="147"/>
        <v>-22.284148884278192</v>
      </c>
      <c r="AE313" s="333">
        <f t="shared" si="148"/>
        <v>-4.6598736982677007</v>
      </c>
      <c r="AF313" s="334">
        <f t="shared" si="149"/>
        <v>-92.922516458625978</v>
      </c>
      <c r="AH313">
        <f t="shared" si="150"/>
        <v>0</v>
      </c>
      <c r="AI313">
        <f t="shared" si="155"/>
        <v>0</v>
      </c>
    </row>
    <row r="314" spans="1:35" x14ac:dyDescent="0.25">
      <c r="A314" s="335">
        <v>22005.25</v>
      </c>
      <c r="B314" s="352">
        <f t="shared" si="151"/>
        <v>22.00525</v>
      </c>
      <c r="C314" s="325">
        <f t="shared" si="126"/>
        <v>46.88111615721342</v>
      </c>
      <c r="D314" s="326">
        <f t="shared" si="127"/>
        <v>1.549464158758654</v>
      </c>
      <c r="E314" s="326">
        <f t="shared" si="128"/>
        <v>1.0015281663281896</v>
      </c>
      <c r="F314" s="327">
        <f t="shared" si="129"/>
        <v>5.524894181126476E-2</v>
      </c>
      <c r="G314" s="326">
        <f t="shared" si="130"/>
        <v>1</v>
      </c>
      <c r="H314" s="327">
        <f t="shared" si="131"/>
        <v>0</v>
      </c>
      <c r="I314" s="325">
        <f t="shared" si="132"/>
        <v>7261.1815517913628</v>
      </c>
      <c r="J314" s="328">
        <f t="shared" si="133"/>
        <v>1.5706586081610863</v>
      </c>
      <c r="K314" s="336">
        <f t="shared" si="153"/>
        <v>5.2323676935387669</v>
      </c>
      <c r="L314" s="337">
        <f t="shared" si="154"/>
        <v>1.378495242899606</v>
      </c>
      <c r="M314" s="325">
        <f t="shared" si="134"/>
        <v>1.0196800605945127</v>
      </c>
      <c r="N314" s="337">
        <f t="shared" si="135"/>
        <v>0.1967873753792535</v>
      </c>
      <c r="O314" s="343">
        <f t="shared" si="136"/>
        <v>1.008142374234043</v>
      </c>
      <c r="P314" s="691">
        <f t="shared" si="137"/>
        <v>0.12718102735674416</v>
      </c>
      <c r="Q314" s="336">
        <f t="shared" si="152"/>
        <v>4.2503451232039859</v>
      </c>
      <c r="R314" s="692">
        <f t="shared" si="138"/>
        <v>0.2113220595404964</v>
      </c>
      <c r="S314" s="329">
        <f t="shared" si="139"/>
        <v>0.99640056095708351</v>
      </c>
      <c r="T314" s="330">
        <f t="shared" si="140"/>
        <v>0.12814414680086475</v>
      </c>
      <c r="U314" s="331">
        <f t="shared" si="141"/>
        <v>5.4428025804063207</v>
      </c>
      <c r="V314" s="332">
        <f t="shared" si="142"/>
        <v>-120.06050643869861</v>
      </c>
      <c r="W314" s="334">
        <f t="shared" si="143"/>
        <v>59.93949356130139</v>
      </c>
      <c r="Y314" s="307">
        <f t="shared" si="144"/>
        <v>1000000000</v>
      </c>
      <c r="Z314" s="307">
        <f t="shared" si="145"/>
        <v>484231027.5625</v>
      </c>
      <c r="AB314" s="333">
        <f t="shared" si="146"/>
        <v>34.691765060274946</v>
      </c>
      <c r="AC314" s="334">
        <f t="shared" si="147"/>
        <v>-22.285235902666141</v>
      </c>
      <c r="AE314" s="333">
        <f t="shared" si="148"/>
        <v>-4.7097161270620571</v>
      </c>
      <c r="AF314" s="334">
        <f t="shared" si="149"/>
        <v>-92.9543445025203</v>
      </c>
      <c r="AH314">
        <f t="shared" si="150"/>
        <v>0</v>
      </c>
      <c r="AI314">
        <f t="shared" si="155"/>
        <v>0</v>
      </c>
    </row>
    <row r="315" spans="1:35" x14ac:dyDescent="0.25">
      <c r="A315" s="335">
        <v>22132.5</v>
      </c>
      <c r="B315" s="352">
        <f t="shared" si="151"/>
        <v>22.1325</v>
      </c>
      <c r="C315" s="325">
        <f t="shared" si="126"/>
        <v>47.152093106708989</v>
      </c>
      <c r="D315" s="326">
        <f t="shared" si="127"/>
        <v>1.5495867703943882</v>
      </c>
      <c r="E315" s="326">
        <f t="shared" si="128"/>
        <v>1.0015458776386763</v>
      </c>
      <c r="F315" s="327">
        <f t="shared" si="129"/>
        <v>5.5567775087744804E-2</v>
      </c>
      <c r="G315" s="326">
        <f t="shared" si="130"/>
        <v>1</v>
      </c>
      <c r="H315" s="327">
        <f t="shared" si="131"/>
        <v>0</v>
      </c>
      <c r="I315" s="325">
        <f t="shared" si="132"/>
        <v>7303.1708650230285</v>
      </c>
      <c r="J315" s="328">
        <f t="shared" si="133"/>
        <v>1.570659399969329</v>
      </c>
      <c r="K315" s="336">
        <f t="shared" si="153"/>
        <v>5.2615228446174553</v>
      </c>
      <c r="L315" s="337">
        <f t="shared" si="154"/>
        <v>1.3795740407728914</v>
      </c>
      <c r="M315" s="325">
        <f t="shared" si="134"/>
        <v>1.0199060990445163</v>
      </c>
      <c r="N315" s="337">
        <f t="shared" si="135"/>
        <v>0.19789594241886263</v>
      </c>
      <c r="O315" s="343">
        <f t="shared" si="136"/>
        <v>1.0082364307317997</v>
      </c>
      <c r="P315" s="691">
        <f t="shared" si="137"/>
        <v>0.12790850566305659</v>
      </c>
      <c r="Q315" s="336">
        <f t="shared" si="152"/>
        <v>4.2514207231128811</v>
      </c>
      <c r="R315" s="692">
        <f t="shared" si="138"/>
        <v>0.21250815833882419</v>
      </c>
      <c r="S315" s="329">
        <f t="shared" si="139"/>
        <v>0.99635955085902406</v>
      </c>
      <c r="T315" s="330">
        <f t="shared" si="140"/>
        <v>0.12889462075155375</v>
      </c>
      <c r="U315" s="331">
        <f t="shared" si="141"/>
        <v>5.388121102816303</v>
      </c>
      <c r="V315" s="332">
        <f t="shared" si="142"/>
        <v>-120.12029079036316</v>
      </c>
      <c r="W315" s="334">
        <f t="shared" si="143"/>
        <v>59.879709209636843</v>
      </c>
      <c r="Y315" s="307">
        <f t="shared" si="144"/>
        <v>1000000000</v>
      </c>
      <c r="Z315" s="307">
        <f t="shared" si="145"/>
        <v>489847556.25</v>
      </c>
      <c r="AB315" s="333">
        <f t="shared" si="146"/>
        <v>34.688020600186519</v>
      </c>
      <c r="AC315" s="334">
        <f t="shared" si="147"/>
        <v>-22.286986917528612</v>
      </c>
      <c r="AE315" s="333">
        <f t="shared" si="148"/>
        <v>-4.7592656841899181</v>
      </c>
      <c r="AF315" s="334">
        <f t="shared" si="149"/>
        <v>-92.986100820701708</v>
      </c>
      <c r="AH315">
        <f t="shared" si="150"/>
        <v>0</v>
      </c>
      <c r="AI315">
        <f t="shared" si="155"/>
        <v>0</v>
      </c>
    </row>
    <row r="316" spans="1:35" x14ac:dyDescent="0.25">
      <c r="A316" s="335">
        <v>22259.75</v>
      </c>
      <c r="B316" s="352">
        <f t="shared" si="151"/>
        <v>22.25975</v>
      </c>
      <c r="C316" s="325">
        <f t="shared" si="126"/>
        <v>47.423070756969899</v>
      </c>
      <c r="D316" s="326">
        <f t="shared" si="127"/>
        <v>1.5497079808146543</v>
      </c>
      <c r="E316" s="326">
        <f t="shared" si="128"/>
        <v>1.0015636907573604</v>
      </c>
      <c r="F316" s="327">
        <f t="shared" si="129"/>
        <v>5.5886597055537605E-2</v>
      </c>
      <c r="G316" s="326">
        <f t="shared" si="130"/>
        <v>1</v>
      </c>
      <c r="H316" s="327">
        <f t="shared" si="131"/>
        <v>0</v>
      </c>
      <c r="I316" s="325">
        <f t="shared" si="132"/>
        <v>7345.1601782592215</v>
      </c>
      <c r="J316" s="328">
        <f t="shared" si="133"/>
        <v>1.5706601827246762</v>
      </c>
      <c r="K316" s="336">
        <f t="shared" si="153"/>
        <v>5.2906840515900528</v>
      </c>
      <c r="L316" s="337">
        <f t="shared" si="154"/>
        <v>1.3806409476342711</v>
      </c>
      <c r="M316" s="325">
        <f t="shared" si="134"/>
        <v>1.0201333903220804</v>
      </c>
      <c r="N316" s="337">
        <f t="shared" si="135"/>
        <v>0.19900401683015029</v>
      </c>
      <c r="O316" s="343">
        <f t="shared" si="136"/>
        <v>1.0083310207134557</v>
      </c>
      <c r="P316" s="691">
        <f t="shared" si="137"/>
        <v>0.12863584786699517</v>
      </c>
      <c r="Q316" s="336">
        <f t="shared" si="152"/>
        <v>4.2525022505794086</v>
      </c>
      <c r="R316" s="692">
        <f t="shared" si="138"/>
        <v>0.21369365803542598</v>
      </c>
      <c r="S316" s="329">
        <f t="shared" si="139"/>
        <v>0.99631832145806032</v>
      </c>
      <c r="T316" s="330">
        <f t="shared" si="140"/>
        <v>0.1296452581970601</v>
      </c>
      <c r="U316" s="331">
        <f t="shared" si="141"/>
        <v>5.3337422682291677</v>
      </c>
      <c r="V316" s="332">
        <f t="shared" si="142"/>
        <v>-120.1806309064701</v>
      </c>
      <c r="W316" s="334">
        <f t="shared" si="143"/>
        <v>59.8193690935299</v>
      </c>
      <c r="Y316" s="307">
        <f t="shared" si="144"/>
        <v>1000000000</v>
      </c>
      <c r="Z316" s="307">
        <f t="shared" si="145"/>
        <v>495496470.0625</v>
      </c>
      <c r="AB316" s="333">
        <f t="shared" si="146"/>
        <v>34.684296266644758</v>
      </c>
      <c r="AC316" s="334">
        <f t="shared" si="147"/>
        <v>-22.289390492971762</v>
      </c>
      <c r="AE316" s="333">
        <f t="shared" si="148"/>
        <v>-4.8085256934753797</v>
      </c>
      <c r="AF316" s="334">
        <f t="shared" si="149"/>
        <v>-93.017786870653595</v>
      </c>
      <c r="AH316">
        <f t="shared" si="150"/>
        <v>0</v>
      </c>
      <c r="AI316">
        <f t="shared" si="155"/>
        <v>0</v>
      </c>
    </row>
    <row r="317" spans="1:35" x14ac:dyDescent="0.25">
      <c r="A317" s="335">
        <v>22387</v>
      </c>
      <c r="B317" s="352">
        <f t="shared" si="151"/>
        <v>22.387</v>
      </c>
      <c r="C317" s="325">
        <f t="shared" si="126"/>
        <v>47.694049096051806</v>
      </c>
      <c r="D317" s="326">
        <f t="shared" si="127"/>
        <v>1.5498278138992823</v>
      </c>
      <c r="E317" s="326">
        <f t="shared" si="128"/>
        <v>1.0015816056788092</v>
      </c>
      <c r="F317" s="327">
        <f t="shared" si="129"/>
        <v>5.6205407650433394E-2</v>
      </c>
      <c r="G317" s="326">
        <f t="shared" si="130"/>
        <v>1</v>
      </c>
      <c r="H317" s="327">
        <f t="shared" si="131"/>
        <v>0</v>
      </c>
      <c r="I317" s="325">
        <f t="shared" si="132"/>
        <v>7387.1494914998648</v>
      </c>
      <c r="J317" s="328">
        <f t="shared" si="133"/>
        <v>1.5706609565815004</v>
      </c>
      <c r="K317" s="336">
        <f t="shared" si="153"/>
        <v>5.3198512148689039</v>
      </c>
      <c r="L317" s="337">
        <f t="shared" si="154"/>
        <v>1.3816961566193107</v>
      </c>
      <c r="M317" s="325">
        <f t="shared" si="134"/>
        <v>1.0203619335899827</v>
      </c>
      <c r="N317" s="337">
        <f t="shared" si="135"/>
        <v>0.20011159622218491</v>
      </c>
      <c r="O317" s="343">
        <f t="shared" si="136"/>
        <v>1.0084261440288891</v>
      </c>
      <c r="P317" s="691">
        <f t="shared" si="137"/>
        <v>0.12936305323740085</v>
      </c>
      <c r="Q317" s="336">
        <f t="shared" si="152"/>
        <v>4.2535897010824337</v>
      </c>
      <c r="R317" s="692">
        <f t="shared" si="138"/>
        <v>0.21487855579851839</v>
      </c>
      <c r="S317" s="329">
        <f t="shared" si="139"/>
        <v>0.99627687305238044</v>
      </c>
      <c r="T317" s="330">
        <f t="shared" si="140"/>
        <v>0.13039606007601973</v>
      </c>
      <c r="U317" s="331">
        <f t="shared" si="141"/>
        <v>5.2796621709955991</v>
      </c>
      <c r="V317" s="332">
        <f t="shared" si="142"/>
        <v>-120.24151689833658</v>
      </c>
      <c r="W317" s="334">
        <f t="shared" si="143"/>
        <v>59.758483101663415</v>
      </c>
      <c r="Y317" s="307">
        <f t="shared" si="144"/>
        <v>1000000000</v>
      </c>
      <c r="Z317" s="307">
        <f t="shared" si="145"/>
        <v>501177769</v>
      </c>
      <c r="AB317" s="333">
        <f t="shared" si="146"/>
        <v>34.680591405527473</v>
      </c>
      <c r="AC317" s="334">
        <f t="shared" si="147"/>
        <v>-22.292435434997412</v>
      </c>
      <c r="AE317" s="333">
        <f t="shared" si="148"/>
        <v>-4.8574994220597549</v>
      </c>
      <c r="AF317" s="334">
        <f t="shared" si="149"/>
        <v>-93.049404078048212</v>
      </c>
      <c r="AH317">
        <f t="shared" si="150"/>
        <v>0</v>
      </c>
      <c r="AI317">
        <f t="shared" si="155"/>
        <v>0</v>
      </c>
    </row>
    <row r="318" spans="1:35" x14ac:dyDescent="0.25">
      <c r="A318" s="335">
        <v>22517.5</v>
      </c>
      <c r="B318" s="352">
        <f t="shared" si="151"/>
        <v>22.517499999999998</v>
      </c>
      <c r="C318" s="325">
        <f t="shared" si="126"/>
        <v>47.971948999653875</v>
      </c>
      <c r="D318" s="326">
        <f t="shared" si="127"/>
        <v>1.5499493014476962</v>
      </c>
      <c r="E318" s="326">
        <f t="shared" si="128"/>
        <v>1.0016000838826316</v>
      </c>
      <c r="F318" s="327">
        <f t="shared" si="129"/>
        <v>5.6532348876060907E-2</v>
      </c>
      <c r="G318" s="326">
        <f t="shared" si="130"/>
        <v>1</v>
      </c>
      <c r="H318" s="327">
        <f t="shared" si="131"/>
        <v>0</v>
      </c>
      <c r="I318" s="325">
        <f t="shared" si="132"/>
        <v>7430.2112233543385</v>
      </c>
      <c r="J318" s="328">
        <f t="shared" si="133"/>
        <v>1.5706617411185331</v>
      </c>
      <c r="K318" s="336">
        <f t="shared" si="153"/>
        <v>5.3497693999100591</v>
      </c>
      <c r="L318" s="337">
        <f t="shared" si="154"/>
        <v>1.3827663640655923</v>
      </c>
      <c r="M318" s="325">
        <f t="shared" si="134"/>
        <v>1.0205976133977104</v>
      </c>
      <c r="N318" s="337">
        <f t="shared" si="135"/>
        <v>0.20124694685435637</v>
      </c>
      <c r="O318" s="343">
        <f t="shared" si="136"/>
        <v>1.0085242506018433</v>
      </c>
      <c r="P318" s="691">
        <f t="shared" si="137"/>
        <v>0.13010868874769979</v>
      </c>
      <c r="Q318" s="336">
        <f t="shared" si="152"/>
        <v>4.2547110724956845</v>
      </c>
      <c r="R318" s="692">
        <f t="shared" si="138"/>
        <v>0.21609308803010949</v>
      </c>
      <c r="S318" s="329">
        <f t="shared" si="139"/>
        <v>0.99623413889092582</v>
      </c>
      <c r="T318" s="330">
        <f t="shared" si="140"/>
        <v>0.13116620941122828</v>
      </c>
      <c r="U318" s="331">
        <f t="shared" si="141"/>
        <v>5.2245071193303474</v>
      </c>
      <c r="V318" s="332">
        <f t="shared" si="142"/>
        <v>-120.30451475975489</v>
      </c>
      <c r="W318" s="334">
        <f t="shared" si="143"/>
        <v>59.695485240245105</v>
      </c>
      <c r="Y318" s="307">
        <f t="shared" si="144"/>
        <v>1000000000</v>
      </c>
      <c r="Z318" s="307">
        <f t="shared" si="145"/>
        <v>507037806.25</v>
      </c>
      <c r="AB318" s="333">
        <f t="shared" si="146"/>
        <v>34.676811480046517</v>
      </c>
      <c r="AC318" s="334">
        <f t="shared" si="147"/>
        <v>-22.296212815278093</v>
      </c>
      <c r="AE318" s="333">
        <f t="shared" si="148"/>
        <v>-4.9074299754055817</v>
      </c>
      <c r="AF318" s="334">
        <f t="shared" si="149"/>
        <v>-93.081758755997654</v>
      </c>
      <c r="AH318">
        <f t="shared" si="150"/>
        <v>0</v>
      </c>
      <c r="AI318">
        <f t="shared" si="155"/>
        <v>0</v>
      </c>
    </row>
    <row r="319" spans="1:35" x14ac:dyDescent="0.25">
      <c r="A319" s="335">
        <v>22648</v>
      </c>
      <c r="B319" s="352">
        <f t="shared" si="151"/>
        <v>22.648</v>
      </c>
      <c r="C319" s="325">
        <f t="shared" si="126"/>
        <v>48.249849603128766</v>
      </c>
      <c r="D319" s="326">
        <f t="shared" si="127"/>
        <v>1.5500693895546218</v>
      </c>
      <c r="E319" s="326">
        <f t="shared" si="128"/>
        <v>1.0016186691440956</v>
      </c>
      <c r="F319" s="327">
        <f t="shared" si="129"/>
        <v>5.6859278003695883E-2</v>
      </c>
      <c r="G319" s="326">
        <f t="shared" si="130"/>
        <v>1</v>
      </c>
      <c r="H319" s="327">
        <f t="shared" si="131"/>
        <v>0</v>
      </c>
      <c r="I319" s="325">
        <f t="shared" si="132"/>
        <v>7473.2729552133333</v>
      </c>
      <c r="J319" s="328">
        <f t="shared" si="133"/>
        <v>1.5706625166144073</v>
      </c>
      <c r="K319" s="336">
        <f t="shared" si="153"/>
        <v>5.3796936441212981</v>
      </c>
      <c r="L319" s="337">
        <f t="shared" si="154"/>
        <v>1.3838246667749745</v>
      </c>
      <c r="M319" s="325">
        <f t="shared" si="134"/>
        <v>1.0208346081688133</v>
      </c>
      <c r="N319" s="337">
        <f t="shared" si="135"/>
        <v>0.2023817717876458</v>
      </c>
      <c r="O319" s="343">
        <f t="shared" si="136"/>
        <v>1.0086229177770987</v>
      </c>
      <c r="P319" s="691">
        <f t="shared" si="137"/>
        <v>0.13085417879082886</v>
      </c>
      <c r="Q319" s="336">
        <f t="shared" si="152"/>
        <v>4.2558386636646777</v>
      </c>
      <c r="R319" s="692">
        <f t="shared" si="138"/>
        <v>0.21730698118681099</v>
      </c>
      <c r="S319" s="329">
        <f t="shared" si="139"/>
        <v>0.9961911750359701</v>
      </c>
      <c r="T319" s="330">
        <f t="shared" si="140"/>
        <v>0.13193653368596406</v>
      </c>
      <c r="U319" s="331">
        <f t="shared" si="141"/>
        <v>5.1696581750255461</v>
      </c>
      <c r="V319" s="332">
        <f t="shared" si="142"/>
        <v>-120.36806632673749</v>
      </c>
      <c r="W319" s="334">
        <f t="shared" si="143"/>
        <v>59.631933673262509</v>
      </c>
      <c r="Y319" s="307">
        <f t="shared" si="144"/>
        <v>1000000000</v>
      </c>
      <c r="Z319" s="307">
        <f t="shared" si="145"/>
        <v>512931904</v>
      </c>
      <c r="AB319" s="333">
        <f t="shared" si="146"/>
        <v>34.673050699044097</v>
      </c>
      <c r="AC319" s="334">
        <f t="shared" si="147"/>
        <v>-22.300641648392613</v>
      </c>
      <c r="AE319" s="333">
        <f t="shared" si="148"/>
        <v>-4.9570662206076124</v>
      </c>
      <c r="AF319" s="334">
        <f t="shared" si="149"/>
        <v>-93.114043968316579</v>
      </c>
      <c r="AH319">
        <f t="shared" si="150"/>
        <v>0</v>
      </c>
      <c r="AI319">
        <f t="shared" si="155"/>
        <v>0</v>
      </c>
    </row>
    <row r="320" spans="1:35" x14ac:dyDescent="0.25">
      <c r="A320" s="335">
        <v>22778.5</v>
      </c>
      <c r="B320" s="352">
        <f t="shared" si="151"/>
        <v>22.778500000000001</v>
      </c>
      <c r="C320" s="325">
        <f t="shared" si="126"/>
        <v>48.527750894452751</v>
      </c>
      <c r="D320" s="326">
        <f t="shared" si="127"/>
        <v>1.550188102258887</v>
      </c>
      <c r="E320" s="326">
        <f t="shared" si="128"/>
        <v>1.0016373614572425</v>
      </c>
      <c r="F320" s="327">
        <f t="shared" si="129"/>
        <v>5.7186194964127572E-2</v>
      </c>
      <c r="G320" s="326">
        <f t="shared" si="130"/>
        <v>1</v>
      </c>
      <c r="H320" s="327">
        <f t="shared" si="131"/>
        <v>0</v>
      </c>
      <c r="I320" s="325">
        <f t="shared" si="132"/>
        <v>7516.33468707677</v>
      </c>
      <c r="J320" s="328">
        <f t="shared" si="133"/>
        <v>1.5706632832245153</v>
      </c>
      <c r="K320" s="336">
        <f t="shared" si="153"/>
        <v>5.4096238469506694</v>
      </c>
      <c r="L320" s="337">
        <f t="shared" si="154"/>
        <v>1.3848712599554649</v>
      </c>
      <c r="M320" s="325">
        <f t="shared" si="134"/>
        <v>1.0210729169876676</v>
      </c>
      <c r="N320" s="337">
        <f t="shared" si="135"/>
        <v>0.20351606846620707</v>
      </c>
      <c r="O320" s="343">
        <f t="shared" si="136"/>
        <v>1.0087221453901514</v>
      </c>
      <c r="P320" s="691">
        <f t="shared" si="137"/>
        <v>0.1315995225809761</v>
      </c>
      <c r="Q320" s="336">
        <f t="shared" si="152"/>
        <v>4.2569724696472866</v>
      </c>
      <c r="R320" s="692">
        <f t="shared" si="138"/>
        <v>0.21852023224580616</v>
      </c>
      <c r="S320" s="329">
        <f t="shared" si="139"/>
        <v>0.99614798181494391</v>
      </c>
      <c r="T320" s="330">
        <f t="shared" si="140"/>
        <v>0.13270703391249092</v>
      </c>
      <c r="U320" s="331">
        <f t="shared" si="141"/>
        <v>5.115111360892092</v>
      </c>
      <c r="V320" s="332">
        <f t="shared" si="142"/>
        <v>-120.43216158826981</v>
      </c>
      <c r="W320" s="334">
        <f t="shared" si="143"/>
        <v>59.567838411730193</v>
      </c>
      <c r="Y320" s="307">
        <f t="shared" si="144"/>
        <v>1000000000</v>
      </c>
      <c r="Z320" s="307">
        <f t="shared" si="145"/>
        <v>518860062.25</v>
      </c>
      <c r="AB320" s="333">
        <f t="shared" si="146"/>
        <v>34.669308414794578</v>
      </c>
      <c r="AC320" s="334">
        <f t="shared" si="147"/>
        <v>-22.305710612210135</v>
      </c>
      <c r="AE320" s="333">
        <f t="shared" si="148"/>
        <v>-5.0064115041654311</v>
      </c>
      <c r="AF320" s="334">
        <f t="shared" si="149"/>
        <v>-93.146261154292247</v>
      </c>
      <c r="AH320">
        <f t="shared" si="150"/>
        <v>0</v>
      </c>
      <c r="AI320">
        <f t="shared" si="155"/>
        <v>0</v>
      </c>
    </row>
    <row r="321" spans="1:35" x14ac:dyDescent="0.25">
      <c r="A321" s="335">
        <v>22909</v>
      </c>
      <c r="B321" s="352">
        <f t="shared" si="151"/>
        <v>22.908999999999999</v>
      </c>
      <c r="C321" s="325">
        <f t="shared" si="126"/>
        <v>48.805652861875899</v>
      </c>
      <c r="D321" s="326">
        <f t="shared" si="127"/>
        <v>1.5503054630519633</v>
      </c>
      <c r="E321" s="326">
        <f t="shared" si="128"/>
        <v>1.0016561608160788</v>
      </c>
      <c r="F321" s="327">
        <f t="shared" si="129"/>
        <v>5.7513099688160832E-2</v>
      </c>
      <c r="G321" s="326">
        <f t="shared" si="130"/>
        <v>1</v>
      </c>
      <c r="H321" s="327">
        <f t="shared" si="131"/>
        <v>0</v>
      </c>
      <c r="I321" s="325">
        <f t="shared" si="132"/>
        <v>7559.3964189445751</v>
      </c>
      <c r="J321" s="328">
        <f t="shared" si="133"/>
        <v>1.5706640411007093</v>
      </c>
      <c r="K321" s="336">
        <f t="shared" si="153"/>
        <v>5.4395599100394874</v>
      </c>
      <c r="L321" s="337">
        <f t="shared" si="154"/>
        <v>1.3859063346217393</v>
      </c>
      <c r="M321" s="325">
        <f t="shared" si="134"/>
        <v>1.02131253893443</v>
      </c>
      <c r="N321" s="337">
        <f t="shared" si="135"/>
        <v>0.20464983434201042</v>
      </c>
      <c r="O321" s="343">
        <f t="shared" si="136"/>
        <v>1.008821933275627</v>
      </c>
      <c r="P321" s="691">
        <f t="shared" si="137"/>
        <v>0.1323447193332879</v>
      </c>
      <c r="Q321" s="336">
        <f t="shared" si="152"/>
        <v>4.2581124854794243</v>
      </c>
      <c r="R321" s="692">
        <f t="shared" si="138"/>
        <v>0.21973283819498593</v>
      </c>
      <c r="S321" s="329">
        <f t="shared" si="139"/>
        <v>0.99610455955723987</v>
      </c>
      <c r="T321" s="330">
        <f t="shared" si="140"/>
        <v>0.13347771110302248</v>
      </c>
      <c r="U321" s="331">
        <f t="shared" si="141"/>
        <v>5.0608627752589852</v>
      </c>
      <c r="V321" s="332">
        <f t="shared" si="142"/>
        <v>-120.4967907430362</v>
      </c>
      <c r="W321" s="334">
        <f t="shared" si="143"/>
        <v>59.5032092569638</v>
      </c>
      <c r="Y321" s="307">
        <f t="shared" si="144"/>
        <v>1000000000</v>
      </c>
      <c r="Z321" s="307">
        <f t="shared" si="145"/>
        <v>524822281</v>
      </c>
      <c r="AB321" s="333">
        <f t="shared" si="146"/>
        <v>34.665583997832933</v>
      </c>
      <c r="AC321" s="334">
        <f t="shared" si="147"/>
        <v>-22.311408625105003</v>
      </c>
      <c r="AE321" s="333">
        <f t="shared" si="148"/>
        <v>-5.0554691153858347</v>
      </c>
      <c r="AF321" s="334">
        <f t="shared" si="149"/>
        <v>-93.178411721847027</v>
      </c>
      <c r="AH321">
        <f t="shared" si="150"/>
        <v>0</v>
      </c>
      <c r="AI321">
        <f t="shared" si="155"/>
        <v>0</v>
      </c>
    </row>
    <row r="322" spans="1:35" x14ac:dyDescent="0.25">
      <c r="A322" s="335">
        <v>23042.25</v>
      </c>
      <c r="B322" s="352">
        <f t="shared" si="151"/>
        <v>23.042249999999999</v>
      </c>
      <c r="C322" s="325">
        <f t="shared" si="126"/>
        <v>49.089411686715373</v>
      </c>
      <c r="D322" s="326">
        <f t="shared" si="127"/>
        <v>1.5504239258750181</v>
      </c>
      <c r="E322" s="326">
        <f t="shared" si="128"/>
        <v>1.0016754667768086</v>
      </c>
      <c r="F322" s="327">
        <f t="shared" si="129"/>
        <v>5.7846880511279758E-2</v>
      </c>
      <c r="G322" s="326">
        <f t="shared" si="130"/>
        <v>1</v>
      </c>
      <c r="H322" s="327">
        <f t="shared" si="131"/>
        <v>0</v>
      </c>
      <c r="I322" s="325">
        <f t="shared" si="132"/>
        <v>7603.3655819481219</v>
      </c>
      <c r="J322" s="328">
        <f t="shared" si="133"/>
        <v>1.5706648060897423</v>
      </c>
      <c r="K322" s="336">
        <f t="shared" si="153"/>
        <v>5.4701327565322178</v>
      </c>
      <c r="L322" s="337">
        <f t="shared" si="154"/>
        <v>1.3869515302587971</v>
      </c>
      <c r="M322" s="325">
        <f t="shared" si="134"/>
        <v>1.021558564352018</v>
      </c>
      <c r="N322" s="337">
        <f t="shared" si="135"/>
        <v>0.20580694149761306</v>
      </c>
      <c r="O322" s="343">
        <f t="shared" si="136"/>
        <v>1.0089244019047885</v>
      </c>
      <c r="P322" s="691">
        <f t="shared" si="137"/>
        <v>0.13310546693268829</v>
      </c>
      <c r="Q322" s="336">
        <f t="shared" si="152"/>
        <v>4.2592829269694423</v>
      </c>
      <c r="R322" s="692">
        <f t="shared" si="138"/>
        <v>0.2209703283800418</v>
      </c>
      <c r="S322" s="329">
        <f t="shared" si="139"/>
        <v>0.99605998628823644</v>
      </c>
      <c r="T322" s="330">
        <f t="shared" si="140"/>
        <v>0.13426481226619499</v>
      </c>
      <c r="U322" s="331">
        <f t="shared" si="141"/>
        <v>5.0057747644312904</v>
      </c>
      <c r="V322" s="332">
        <f t="shared" si="142"/>
        <v>-120.56332273156167</v>
      </c>
      <c r="W322" s="334">
        <f t="shared" si="143"/>
        <v>59.436677268438331</v>
      </c>
      <c r="Y322" s="307">
        <f t="shared" si="144"/>
        <v>1000000000</v>
      </c>
      <c r="Z322" s="307">
        <f t="shared" si="145"/>
        <v>530945285.0625</v>
      </c>
      <c r="AB322" s="333">
        <f t="shared" si="146"/>
        <v>34.661798897402882</v>
      </c>
      <c r="AC322" s="334">
        <f t="shared" si="147"/>
        <v>-22.317864513446864</v>
      </c>
      <c r="AE322" s="333">
        <f t="shared" si="148"/>
        <v>-5.1052670378542775</v>
      </c>
      <c r="AF322" s="334">
        <f t="shared" si="149"/>
        <v>-93.2111724839272</v>
      </c>
      <c r="AH322">
        <f t="shared" si="150"/>
        <v>0</v>
      </c>
      <c r="AI322">
        <f t="shared" si="155"/>
        <v>0</v>
      </c>
    </row>
    <row r="323" spans="1:35" x14ac:dyDescent="0.25">
      <c r="A323" s="335">
        <v>23175.5</v>
      </c>
      <c r="B323" s="352">
        <f t="shared" si="151"/>
        <v>23.1755</v>
      </c>
      <c r="C323" s="325">
        <f t="shared" si="126"/>
        <v>49.373171192529739</v>
      </c>
      <c r="D323" s="326">
        <f t="shared" si="127"/>
        <v>1.5505410270309516</v>
      </c>
      <c r="E323" s="326">
        <f t="shared" si="128"/>
        <v>1.0016948843295306</v>
      </c>
      <c r="F323" s="327">
        <f t="shared" si="129"/>
        <v>5.8180648431101614E-2</v>
      </c>
      <c r="G323" s="326">
        <f t="shared" si="130"/>
        <v>1</v>
      </c>
      <c r="H323" s="327">
        <f t="shared" si="131"/>
        <v>0</v>
      </c>
      <c r="I323" s="325">
        <f t="shared" si="132"/>
        <v>7647.3347449560679</v>
      </c>
      <c r="J323" s="328">
        <f t="shared" si="133"/>
        <v>1.570665562282004</v>
      </c>
      <c r="K323" s="336">
        <f t="shared" si="153"/>
        <v>5.500711512353436</v>
      </c>
      <c r="L323" s="337">
        <f t="shared" si="154"/>
        <v>1.3879851064152331</v>
      </c>
      <c r="M323" s="325">
        <f t="shared" si="134"/>
        <v>1.0218059568715583</v>
      </c>
      <c r="N323" s="337">
        <f t="shared" si="135"/>
        <v>0.20696348989969063</v>
      </c>
      <c r="O323" s="343">
        <f t="shared" si="136"/>
        <v>1.0090274543169511</v>
      </c>
      <c r="P323" s="691">
        <f t="shared" si="137"/>
        <v>0.13386605958123152</v>
      </c>
      <c r="Q323" s="336">
        <f t="shared" si="152"/>
        <v>4.2604598322547291</v>
      </c>
      <c r="R323" s="692">
        <f t="shared" si="138"/>
        <v>0.22220713966757233</v>
      </c>
      <c r="S323" s="329">
        <f t="shared" si="139"/>
        <v>0.99601517492829916</v>
      </c>
      <c r="T323" s="330">
        <f t="shared" si="140"/>
        <v>0.13505210006292975</v>
      </c>
      <c r="U323" s="331">
        <f t="shared" si="141"/>
        <v>4.9509896947748047</v>
      </c>
      <c r="V323" s="332">
        <f t="shared" si="142"/>
        <v>-120.63039134395885</v>
      </c>
      <c r="W323" s="334">
        <f t="shared" si="143"/>
        <v>59.369608656041152</v>
      </c>
      <c r="Y323" s="307">
        <f t="shared" si="144"/>
        <v>1000000000</v>
      </c>
      <c r="Z323" s="307">
        <f t="shared" si="145"/>
        <v>537103800.25</v>
      </c>
      <c r="AB323" s="333">
        <f t="shared" si="146"/>
        <v>34.658031154523378</v>
      </c>
      <c r="AC323" s="334">
        <f t="shared" si="147"/>
        <v>-22.324953630752564</v>
      </c>
      <c r="AE323" s="333">
        <f t="shared" si="148"/>
        <v>-5.154771790436973</v>
      </c>
      <c r="AF323" s="334">
        <f t="shared" si="149"/>
        <v>-93.243866660848056</v>
      </c>
      <c r="AH323">
        <f t="shared" si="150"/>
        <v>0</v>
      </c>
      <c r="AI323">
        <f t="shared" si="155"/>
        <v>0</v>
      </c>
    </row>
    <row r="324" spans="1:35" x14ac:dyDescent="0.25">
      <c r="A324" s="335">
        <v>23308.75</v>
      </c>
      <c r="B324" s="352">
        <f t="shared" si="151"/>
        <v>23.30875</v>
      </c>
      <c r="C324" s="325">
        <f t="shared" si="126"/>
        <v>49.656931367644894</v>
      </c>
      <c r="D324" s="326">
        <f t="shared" si="127"/>
        <v>1.550656789859906</v>
      </c>
      <c r="E324" s="326">
        <f t="shared" si="128"/>
        <v>1.0017144134677554</v>
      </c>
      <c r="F324" s="327">
        <f t="shared" si="129"/>
        <v>5.8514403374014749E-2</v>
      </c>
      <c r="G324" s="326">
        <f t="shared" si="130"/>
        <v>1</v>
      </c>
      <c r="H324" s="327">
        <f t="shared" si="131"/>
        <v>0</v>
      </c>
      <c r="I324" s="325">
        <f t="shared" si="132"/>
        <v>7691.3039079683367</v>
      </c>
      <c r="J324" s="328">
        <f t="shared" si="133"/>
        <v>1.5706663098283611</v>
      </c>
      <c r="K324" s="336">
        <f t="shared" si="153"/>
        <v>5.5312960794972259</v>
      </c>
      <c r="L324" s="337">
        <f t="shared" si="154"/>
        <v>1.3890072536093614</v>
      </c>
      <c r="M324" s="325">
        <f t="shared" si="134"/>
        <v>1.022054715500313</v>
      </c>
      <c r="N324" s="337">
        <f t="shared" si="135"/>
        <v>0.20811947686110877</v>
      </c>
      <c r="O324" s="343">
        <f t="shared" si="136"/>
        <v>1.0091310903332666</v>
      </c>
      <c r="P324" s="691">
        <f t="shared" si="137"/>
        <v>0.13462649644651623</v>
      </c>
      <c r="Q324" s="336">
        <f t="shared" si="152"/>
        <v>4.2616431959805068</v>
      </c>
      <c r="R324" s="692">
        <f t="shared" si="138"/>
        <v>0.22344326888577382</v>
      </c>
      <c r="S324" s="329">
        <f t="shared" si="139"/>
        <v>0.99597012583442646</v>
      </c>
      <c r="T324" s="330">
        <f t="shared" si="140"/>
        <v>0.13583957557062035</v>
      </c>
      <c r="U324" s="331">
        <f t="shared" si="141"/>
        <v>4.8965036443961187</v>
      </c>
      <c r="V324" s="332">
        <f t="shared" si="142"/>
        <v>-120.69798678821643</v>
      </c>
      <c r="W324" s="334">
        <f t="shared" si="143"/>
        <v>59.302013211783574</v>
      </c>
      <c r="Y324" s="307">
        <f t="shared" si="144"/>
        <v>1000000000</v>
      </c>
      <c r="Z324" s="307">
        <f t="shared" si="145"/>
        <v>543297826.5625</v>
      </c>
      <c r="AB324" s="333">
        <f t="shared" si="146"/>
        <v>34.654280154260711</v>
      </c>
      <c r="AC324" s="334">
        <f t="shared" si="147"/>
        <v>-22.332664915809346</v>
      </c>
      <c r="AE324" s="333">
        <f t="shared" si="148"/>
        <v>-5.2039866985041607</v>
      </c>
      <c r="AF324" s="334">
        <f t="shared" si="149"/>
        <v>-93.276495655848962</v>
      </c>
      <c r="AH324">
        <f t="shared" si="150"/>
        <v>0</v>
      </c>
      <c r="AI324">
        <f t="shared" si="155"/>
        <v>0</v>
      </c>
    </row>
    <row r="325" spans="1:35" x14ac:dyDescent="0.25">
      <c r="A325" s="335">
        <v>23442</v>
      </c>
      <c r="B325" s="352">
        <f t="shared" si="151"/>
        <v>23.442</v>
      </c>
      <c r="C325" s="325">
        <f t="shared" si="126"/>
        <v>49.940692200652052</v>
      </c>
      <c r="D325" s="326">
        <f t="shared" si="127"/>
        <v>1.5507712371716982</v>
      </c>
      <c r="E325" s="326">
        <f t="shared" si="128"/>
        <v>1.0017340541849566</v>
      </c>
      <c r="F325" s="327">
        <f t="shared" si="129"/>
        <v>5.8848145266424817E-2</v>
      </c>
      <c r="G325" s="326">
        <f t="shared" si="130"/>
        <v>1</v>
      </c>
      <c r="H325" s="327">
        <f t="shared" si="131"/>
        <v>0</v>
      </c>
      <c r="I325" s="325">
        <f t="shared" si="132"/>
        <v>7735.2730709848538</v>
      </c>
      <c r="J325" s="328">
        <f t="shared" si="133"/>
        <v>1.5706670488762493</v>
      </c>
      <c r="K325" s="336">
        <f t="shared" si="153"/>
        <v>5.5618863620949721</v>
      </c>
      <c r="L325" s="337">
        <f t="shared" si="154"/>
        <v>1.3900181582648323</v>
      </c>
      <c r="M325" s="325">
        <f t="shared" si="134"/>
        <v>1.022304839241031</v>
      </c>
      <c r="N325" s="337">
        <f t="shared" si="135"/>
        <v>0.20927489970334351</v>
      </c>
      <c r="O325" s="343">
        <f t="shared" si="136"/>
        <v>1.0092353097739493</v>
      </c>
      <c r="P325" s="691">
        <f t="shared" si="137"/>
        <v>0.13538677669720262</v>
      </c>
      <c r="Q325" s="336">
        <f t="shared" si="152"/>
        <v>4.2628330127685734</v>
      </c>
      <c r="R325" s="692">
        <f t="shared" si="138"/>
        <v>0.22467871287462177</v>
      </c>
      <c r="S325" s="329">
        <f t="shared" si="139"/>
        <v>0.99592483936575527</v>
      </c>
      <c r="T325" s="330">
        <f t="shared" si="140"/>
        <v>0.13662723986660161</v>
      </c>
      <c r="U325" s="331">
        <f t="shared" si="141"/>
        <v>4.8423127655662874</v>
      </c>
      <c r="V325" s="332">
        <f t="shared" si="142"/>
        <v>-120.76609947745129</v>
      </c>
      <c r="W325" s="334">
        <f t="shared" si="143"/>
        <v>59.233900522548709</v>
      </c>
      <c r="Y325" s="307">
        <f t="shared" si="144"/>
        <v>1000000000</v>
      </c>
      <c r="Z325" s="307">
        <f t="shared" si="145"/>
        <v>549527364</v>
      </c>
      <c r="AB325" s="333">
        <f t="shared" si="146"/>
        <v>34.650545299069833</v>
      </c>
      <c r="AC325" s="334">
        <f t="shared" si="147"/>
        <v>-22.340987542308163</v>
      </c>
      <c r="AE325" s="333">
        <f t="shared" si="148"/>
        <v>-5.2529150307183947</v>
      </c>
      <c r="AF325" s="334">
        <f t="shared" si="149"/>
        <v>-93.309060841779541</v>
      </c>
      <c r="AH325">
        <f t="shared" si="150"/>
        <v>0</v>
      </c>
      <c r="AI325">
        <f t="shared" si="155"/>
        <v>0</v>
      </c>
    </row>
    <row r="326" spans="1:35" x14ac:dyDescent="0.25">
      <c r="A326" s="335">
        <v>23578.5</v>
      </c>
      <c r="B326" s="352">
        <f t="shared" si="151"/>
        <v>23.578499999999998</v>
      </c>
      <c r="C326" s="325">
        <f t="shared" si="126"/>
        <v>50.231374700088466</v>
      </c>
      <c r="D326" s="326">
        <f t="shared" si="127"/>
        <v>1.5508871351456905</v>
      </c>
      <c r="E326" s="326">
        <f t="shared" si="128"/>
        <v>1.0017542896315026</v>
      </c>
      <c r="F326" s="327">
        <f t="shared" si="129"/>
        <v>5.9190013596238135E-2</v>
      </c>
      <c r="G326" s="326">
        <f t="shared" si="130"/>
        <v>1</v>
      </c>
      <c r="H326" s="327">
        <f t="shared" si="131"/>
        <v>0</v>
      </c>
      <c r="I326" s="325">
        <f t="shared" si="132"/>
        <v>7780.3146526158616</v>
      </c>
      <c r="J326" s="328">
        <f t="shared" si="133"/>
        <v>1.5706677972883918</v>
      </c>
      <c r="K326" s="336">
        <f t="shared" si="153"/>
        <v>5.5932285773766379</v>
      </c>
      <c r="L326" s="337">
        <f t="shared" si="154"/>
        <v>1.3910422526153097</v>
      </c>
      <c r="M326" s="325">
        <f t="shared" si="134"/>
        <v>1.0225624779747515</v>
      </c>
      <c r="N326" s="337">
        <f t="shared" si="135"/>
        <v>0.21045791587421769</v>
      </c>
      <c r="O326" s="343">
        <f t="shared" si="136"/>
        <v>1.0093426759059849</v>
      </c>
      <c r="P326" s="691">
        <f t="shared" si="137"/>
        <v>0.13616543710976478</v>
      </c>
      <c r="Q326" s="336">
        <f t="shared" si="152"/>
        <v>4.2640585349012303</v>
      </c>
      <c r="R326" s="692">
        <f t="shared" si="138"/>
        <v>0.22594357585035946</v>
      </c>
      <c r="S326" s="329">
        <f t="shared" si="139"/>
        <v>0.99587820259688042</v>
      </c>
      <c r="T326" s="330">
        <f t="shared" si="140"/>
        <v>0.13743431236429668</v>
      </c>
      <c r="U326" s="331">
        <f t="shared" si="141"/>
        <v>4.7871022702533548</v>
      </c>
      <c r="V326" s="332">
        <f t="shared" si="142"/>
        <v>-120.83639996302378</v>
      </c>
      <c r="W326" s="334">
        <f t="shared" si="143"/>
        <v>59.16360003697622</v>
      </c>
      <c r="Y326" s="307">
        <f t="shared" si="144"/>
        <v>1000000000</v>
      </c>
      <c r="Z326" s="307">
        <f t="shared" si="145"/>
        <v>555945662.25</v>
      </c>
      <c r="AB326" s="333">
        <f t="shared" si="146"/>
        <v>34.646735483466941</v>
      </c>
      <c r="AC326" s="334">
        <f t="shared" si="147"/>
        <v>-22.350135972756988</v>
      </c>
      <c r="AE326" s="333">
        <f t="shared" si="148"/>
        <v>-5.3027429498062357</v>
      </c>
      <c r="AF326" s="334">
        <f t="shared" si="149"/>
        <v>-93.342355542012996</v>
      </c>
      <c r="AH326">
        <f t="shared" si="150"/>
        <v>0</v>
      </c>
      <c r="AI326">
        <f t="shared" si="155"/>
        <v>0</v>
      </c>
    </row>
    <row r="327" spans="1:35" x14ac:dyDescent="0.25">
      <c r="A327" s="335">
        <v>23715</v>
      </c>
      <c r="B327" s="352">
        <f t="shared" si="151"/>
        <v>23.715</v>
      </c>
      <c r="C327" s="325">
        <f t="shared" si="126"/>
        <v>50.522057866485632</v>
      </c>
      <c r="D327" s="326">
        <f t="shared" si="127"/>
        <v>1.5510016994625446</v>
      </c>
      <c r="E327" s="326">
        <f t="shared" si="128"/>
        <v>1.0017746421522966</v>
      </c>
      <c r="F327" s="327">
        <f t="shared" si="129"/>
        <v>5.9531868074891164E-2</v>
      </c>
      <c r="G327" s="326">
        <f t="shared" si="130"/>
        <v>1</v>
      </c>
      <c r="H327" s="327">
        <f t="shared" si="131"/>
        <v>0</v>
      </c>
      <c r="I327" s="325">
        <f t="shared" si="132"/>
        <v>7825.3562342511768</v>
      </c>
      <c r="J327" s="328">
        <f t="shared" si="133"/>
        <v>1.5706685370850373</v>
      </c>
      <c r="K327" s="336">
        <f t="shared" si="153"/>
        <v>5.6245765932857159</v>
      </c>
      <c r="L327" s="337">
        <f t="shared" si="154"/>
        <v>1.3920549326428422</v>
      </c>
      <c r="M327" s="325">
        <f t="shared" si="134"/>
        <v>1.0228215470904052</v>
      </c>
      <c r="N327" s="337">
        <f t="shared" si="135"/>
        <v>0.21164033441002239</v>
      </c>
      <c r="O327" s="343">
        <f t="shared" si="136"/>
        <v>1.0094506538842385</v>
      </c>
      <c r="P327" s="691">
        <f t="shared" si="137"/>
        <v>0.13694393141220856</v>
      </c>
      <c r="Q327" s="336">
        <f t="shared" si="152"/>
        <v>4.2652908172185144</v>
      </c>
      <c r="R327" s="692">
        <f t="shared" si="138"/>
        <v>0.22720771308834392</v>
      </c>
      <c r="S327" s="329">
        <f t="shared" si="139"/>
        <v>0.99583131750255161</v>
      </c>
      <c r="T327" s="330">
        <f t="shared" si="140"/>
        <v>0.13824158526021141</v>
      </c>
      <c r="U327" s="331">
        <f t="shared" si="141"/>
        <v>4.7321935774319215</v>
      </c>
      <c r="V327" s="332">
        <f t="shared" si="142"/>
        <v>-120.90722350388714</v>
      </c>
      <c r="W327" s="334">
        <f t="shared" si="143"/>
        <v>59.092776496112862</v>
      </c>
      <c r="Y327" s="307">
        <f t="shared" si="144"/>
        <v>1000000000</v>
      </c>
      <c r="Z327" s="307">
        <f t="shared" si="145"/>
        <v>562401225</v>
      </c>
      <c r="AB327" s="333">
        <f t="shared" si="146"/>
        <v>34.64294139423211</v>
      </c>
      <c r="AC327" s="334">
        <f t="shared" si="147"/>
        <v>-22.359903660138478</v>
      </c>
      <c r="AE327" s="333">
        <f t="shared" si="148"/>
        <v>-5.35227691011338</v>
      </c>
      <c r="AF327" s="334">
        <f t="shared" si="149"/>
        <v>-93.375586104906276</v>
      </c>
      <c r="AH327">
        <f t="shared" si="150"/>
        <v>0</v>
      </c>
      <c r="AI327">
        <f t="shared" si="155"/>
        <v>0</v>
      </c>
    </row>
    <row r="328" spans="1:35" x14ac:dyDescent="0.25">
      <c r="A328" s="335">
        <v>23851.5</v>
      </c>
      <c r="B328" s="352">
        <f t="shared" si="151"/>
        <v>23.851500000000001</v>
      </c>
      <c r="C328" s="325">
        <f t="shared" si="126"/>
        <v>50.812741688397153</v>
      </c>
      <c r="D328" s="326">
        <f t="shared" si="127"/>
        <v>1.5511149530075345</v>
      </c>
      <c r="E328" s="326">
        <f t="shared" si="128"/>
        <v>1.0017951117402029</v>
      </c>
      <c r="F328" s="327">
        <f t="shared" si="129"/>
        <v>5.9873708623329247E-2</v>
      </c>
      <c r="G328" s="326">
        <f t="shared" si="130"/>
        <v>1</v>
      </c>
      <c r="H328" s="327">
        <f t="shared" si="131"/>
        <v>0</v>
      </c>
      <c r="I328" s="325">
        <f t="shared" si="132"/>
        <v>7870.3978158907266</v>
      </c>
      <c r="J328" s="328">
        <f t="shared" si="133"/>
        <v>1.5706692684141028</v>
      </c>
      <c r="K328" s="336">
        <f t="shared" si="153"/>
        <v>5.655930313372207</v>
      </c>
      <c r="L328" s="337">
        <f t="shared" si="154"/>
        <v>1.3930563860792462</v>
      </c>
      <c r="M328" s="325">
        <f t="shared" si="134"/>
        <v>1.0230820455013703</v>
      </c>
      <c r="N328" s="337">
        <f t="shared" si="135"/>
        <v>0.2128221524597147</v>
      </c>
      <c r="O328" s="343">
        <f t="shared" si="136"/>
        <v>1.0095592435123883</v>
      </c>
      <c r="P328" s="691">
        <f t="shared" si="137"/>
        <v>0.137722258714367</v>
      </c>
      <c r="Q328" s="336">
        <f t="shared" si="152"/>
        <v>4.2665298538633172</v>
      </c>
      <c r="R328" s="692">
        <f t="shared" si="138"/>
        <v>0.2284711212303169</v>
      </c>
      <c r="S328" s="329">
        <f t="shared" si="139"/>
        <v>0.99578418447581851</v>
      </c>
      <c r="T328" s="330">
        <f t="shared" si="140"/>
        <v>0.13904905971224871</v>
      </c>
      <c r="U328" s="331">
        <f t="shared" si="141"/>
        <v>4.6775827810647339</v>
      </c>
      <c r="V328" s="332">
        <f t="shared" si="142"/>
        <v>-120.97856042961379</v>
      </c>
      <c r="W328" s="334">
        <f t="shared" si="143"/>
        <v>59.021439570386207</v>
      </c>
      <c r="Y328" s="307">
        <f t="shared" si="144"/>
        <v>1000000000</v>
      </c>
      <c r="Z328" s="307">
        <f t="shared" si="145"/>
        <v>568894052.25</v>
      </c>
      <c r="AB328" s="333">
        <f t="shared" si="146"/>
        <v>34.639162442155957</v>
      </c>
      <c r="AC328" s="334">
        <f t="shared" si="147"/>
        <v>-22.370279693334151</v>
      </c>
      <c r="AE328" s="333">
        <f t="shared" si="148"/>
        <v>-5.4015202485504279</v>
      </c>
      <c r="AF328" s="334">
        <f t="shared" si="149"/>
        <v>-93.408753912561423</v>
      </c>
      <c r="AH328">
        <f t="shared" si="150"/>
        <v>0</v>
      </c>
      <c r="AI328">
        <f t="shared" si="155"/>
        <v>0</v>
      </c>
    </row>
    <row r="329" spans="1:35" x14ac:dyDescent="0.25">
      <c r="A329" s="335">
        <v>23988</v>
      </c>
      <c r="B329" s="352">
        <f t="shared" si="151"/>
        <v>23.988</v>
      </c>
      <c r="C329" s="325">
        <f t="shared" si="126"/>
        <v>51.103426154637056</v>
      </c>
      <c r="D329" s="326">
        <f t="shared" si="127"/>
        <v>1.5512269181453704</v>
      </c>
      <c r="E329" s="326">
        <f t="shared" si="128"/>
        <v>1.0018156983880455</v>
      </c>
      <c r="F329" s="327">
        <f t="shared" si="129"/>
        <v>6.0215535162517216E-2</v>
      </c>
      <c r="G329" s="326">
        <f t="shared" si="130"/>
        <v>1</v>
      </c>
      <c r="H329" s="327">
        <f t="shared" si="131"/>
        <v>0</v>
      </c>
      <c r="I329" s="325">
        <f t="shared" si="132"/>
        <v>7915.4393975344365</v>
      </c>
      <c r="J329" s="328">
        <f t="shared" si="133"/>
        <v>1.5706699914201387</v>
      </c>
      <c r="K329" s="336">
        <f t="shared" si="153"/>
        <v>5.6872896432956468</v>
      </c>
      <c r="L329" s="337">
        <f t="shared" si="154"/>
        <v>1.3940467966069838</v>
      </c>
      <c r="M329" s="325">
        <f t="shared" si="134"/>
        <v>1.0233439721161397</v>
      </c>
      <c r="N329" s="337">
        <f t="shared" si="135"/>
        <v>0.21400336718185625</v>
      </c>
      <c r="O329" s="343">
        <f t="shared" si="136"/>
        <v>1.0096684445930866</v>
      </c>
      <c r="P329" s="691">
        <f t="shared" si="137"/>
        <v>0.13850041812726438</v>
      </c>
      <c r="Q329" s="336">
        <f t="shared" si="152"/>
        <v>4.2677756389532462</v>
      </c>
      <c r="R329" s="692">
        <f t="shared" si="138"/>
        <v>0.22973379693114046</v>
      </c>
      <c r="S329" s="329">
        <f t="shared" si="139"/>
        <v>0.99573680391209074</v>
      </c>
      <c r="T329" s="330">
        <f t="shared" si="140"/>
        <v>0.13985673687824177</v>
      </c>
      <c r="U329" s="331">
        <f t="shared" si="141"/>
        <v>4.6232660489227078</v>
      </c>
      <c r="V329" s="332">
        <f t="shared" si="142"/>
        <v>-121.05040127299661</v>
      </c>
      <c r="W329" s="334">
        <f t="shared" si="143"/>
        <v>58.949598727003391</v>
      </c>
      <c r="Y329" s="307">
        <f t="shared" si="144"/>
        <v>1000000000</v>
      </c>
      <c r="Z329" s="307">
        <f t="shared" si="145"/>
        <v>575424144</v>
      </c>
      <c r="AB329" s="333">
        <f t="shared" si="146"/>
        <v>34.63539805480157</v>
      </c>
      <c r="AC329" s="334">
        <f t="shared" si="147"/>
        <v>-22.381253393593848</v>
      </c>
      <c r="AE329" s="333">
        <f t="shared" si="148"/>
        <v>-5.4504762450648423</v>
      </c>
      <c r="AF329" s="334">
        <f t="shared" si="149"/>
        <v>-93.441860317249294</v>
      </c>
      <c r="AH329">
        <f t="shared" si="150"/>
        <v>0</v>
      </c>
      <c r="AI329">
        <f t="shared" si="155"/>
        <v>0</v>
      </c>
    </row>
    <row r="330" spans="1:35" x14ac:dyDescent="0.25">
      <c r="A330" s="335">
        <v>24127.75</v>
      </c>
      <c r="B330" s="352">
        <f t="shared" si="151"/>
        <v>24.127749999999999</v>
      </c>
      <c r="C330" s="325">
        <f t="shared" si="126"/>
        <v>51.401032335704826</v>
      </c>
      <c r="D330" s="326">
        <f t="shared" si="127"/>
        <v>1.551340237155318</v>
      </c>
      <c r="E330" s="326">
        <f t="shared" si="128"/>
        <v>1.0018368964604631</v>
      </c>
      <c r="F330" s="327">
        <f t="shared" si="129"/>
        <v>6.0565485832767801E-2</v>
      </c>
      <c r="G330" s="326">
        <f t="shared" si="130"/>
        <v>1</v>
      </c>
      <c r="H330" s="327">
        <f t="shared" si="131"/>
        <v>0</v>
      </c>
      <c r="I330" s="325">
        <f t="shared" si="132"/>
        <v>7961.553397792949</v>
      </c>
      <c r="J330" s="328">
        <f t="shared" si="133"/>
        <v>1.5706707231654709</v>
      </c>
      <c r="K330" s="336">
        <f t="shared" si="153"/>
        <v>5.7194013393536052</v>
      </c>
      <c r="L330" s="337">
        <f t="shared" si="154"/>
        <v>1.3950495355740236</v>
      </c>
      <c r="M330" s="325">
        <f t="shared" si="134"/>
        <v>1.023613613549899</v>
      </c>
      <c r="N330" s="337">
        <f t="shared" si="135"/>
        <v>0.21521207806110867</v>
      </c>
      <c r="O330" s="343">
        <f t="shared" si="136"/>
        <v>1.0097808789558167</v>
      </c>
      <c r="P330" s="691">
        <f t="shared" si="137"/>
        <v>0.13929693028530801</v>
      </c>
      <c r="Q330" s="336">
        <f t="shared" si="152"/>
        <v>4.2690580707978478</v>
      </c>
      <c r="R330" s="692">
        <f t="shared" si="138"/>
        <v>0.23102577405251692</v>
      </c>
      <c r="S330" s="329">
        <f t="shared" si="139"/>
        <v>0.99568803920731352</v>
      </c>
      <c r="T330" s="330">
        <f t="shared" si="140"/>
        <v>0.1406838556731051</v>
      </c>
      <c r="U330" s="331">
        <f t="shared" si="141"/>
        <v>4.567956785025939</v>
      </c>
      <c r="V330" s="332">
        <f t="shared" si="142"/>
        <v>-121.12446499223113</v>
      </c>
      <c r="W330" s="334">
        <f t="shared" si="143"/>
        <v>58.875535007768875</v>
      </c>
      <c r="Y330" s="307">
        <f t="shared" si="144"/>
        <v>1000000000</v>
      </c>
      <c r="Z330" s="307">
        <f t="shared" si="145"/>
        <v>582148320.0625</v>
      </c>
      <c r="AB330" s="333">
        <f t="shared" si="146"/>
        <v>34.631558547488211</v>
      </c>
      <c r="AC330" s="334">
        <f t="shared" si="147"/>
        <v>-22.393096640794617</v>
      </c>
      <c r="AE330" s="333">
        <f t="shared" si="148"/>
        <v>-5.500303541476347</v>
      </c>
      <c r="AF330" s="334">
        <f t="shared" si="149"/>
        <v>-93.475692737955043</v>
      </c>
      <c r="AH330">
        <f t="shared" si="150"/>
        <v>0</v>
      </c>
      <c r="AI330">
        <f t="shared" si="155"/>
        <v>0</v>
      </c>
    </row>
    <row r="331" spans="1:35" x14ac:dyDescent="0.25">
      <c r="A331" s="335">
        <v>24267.5</v>
      </c>
      <c r="B331" s="352">
        <f t="shared" si="151"/>
        <v>24.267499999999998</v>
      </c>
      <c r="C331" s="325">
        <f t="shared" si="126"/>
        <v>51.698639169224187</v>
      </c>
      <c r="D331" s="326">
        <f t="shared" si="127"/>
        <v>1.5514522515090716</v>
      </c>
      <c r="E331" s="326">
        <f t="shared" si="128"/>
        <v>1.0018582172181081</v>
      </c>
      <c r="F331" s="327">
        <f t="shared" si="129"/>
        <v>6.0915421651122743E-2</v>
      </c>
      <c r="G331" s="326">
        <f t="shared" si="130"/>
        <v>1</v>
      </c>
      <c r="H331" s="327">
        <f t="shared" si="131"/>
        <v>0</v>
      </c>
      <c r="I331" s="325">
        <f t="shared" si="132"/>
        <v>8007.6673980556761</v>
      </c>
      <c r="J331" s="328">
        <f t="shared" si="133"/>
        <v>1.5706714464829543</v>
      </c>
      <c r="K331" s="336">
        <f t="shared" si="153"/>
        <v>5.7515187219678765</v>
      </c>
      <c r="L331" s="337">
        <f t="shared" si="154"/>
        <v>1.3960410766254621</v>
      </c>
      <c r="M331" s="325">
        <f t="shared" si="134"/>
        <v>1.0238847496757644</v>
      </c>
      <c r="N331" s="337">
        <f t="shared" si="135"/>
        <v>0.21642015054425467</v>
      </c>
      <c r="O331" s="343">
        <f t="shared" si="136"/>
        <v>1.0098939538125786</v>
      </c>
      <c r="P331" s="691">
        <f t="shared" si="137"/>
        <v>0.14009326458222832</v>
      </c>
      <c r="Q331" s="336">
        <f t="shared" si="152"/>
        <v>4.2703475637086292</v>
      </c>
      <c r="R331" s="692">
        <f t="shared" si="138"/>
        <v>0.23231697638553189</v>
      </c>
      <c r="S331" s="329">
        <f t="shared" si="139"/>
        <v>0.99563901588411985</v>
      </c>
      <c r="T331" s="330">
        <f t="shared" si="140"/>
        <v>0.14151118940580162</v>
      </c>
      <c r="U331" s="331">
        <f t="shared" si="141"/>
        <v>4.5129478548669821</v>
      </c>
      <c r="V331" s="332">
        <f t="shared" si="142"/>
        <v>-121.1990374577634</v>
      </c>
      <c r="W331" s="334">
        <f t="shared" si="143"/>
        <v>58.800962542236604</v>
      </c>
      <c r="Y331" s="307">
        <f t="shared" si="144"/>
        <v>1000000000</v>
      </c>
      <c r="Z331" s="307">
        <f t="shared" si="145"/>
        <v>588911556.25</v>
      </c>
      <c r="AB331" s="333">
        <f t="shared" si="146"/>
        <v>34.627733143917702</v>
      </c>
      <c r="AC331" s="334">
        <f t="shared" si="147"/>
        <v>-22.405544421016657</v>
      </c>
      <c r="AE331" s="333">
        <f t="shared" si="148"/>
        <v>-5.5498364305654686</v>
      </c>
      <c r="AF331" s="334">
        <f t="shared" si="149"/>
        <v>-93.509463573348711</v>
      </c>
      <c r="AH331">
        <f t="shared" si="150"/>
        <v>0</v>
      </c>
      <c r="AI331">
        <f t="shared" si="155"/>
        <v>0</v>
      </c>
    </row>
    <row r="332" spans="1:35" x14ac:dyDescent="0.25">
      <c r="A332" s="335">
        <v>24407.25</v>
      </c>
      <c r="B332" s="352">
        <f t="shared" si="151"/>
        <v>24.407250000000001</v>
      </c>
      <c r="C332" s="325">
        <f t="shared" si="126"/>
        <v>51.996246643991974</v>
      </c>
      <c r="D332" s="326">
        <f t="shared" si="127"/>
        <v>1.551562983605919</v>
      </c>
      <c r="E332" s="326">
        <f t="shared" si="128"/>
        <v>1.0018796606531479</v>
      </c>
      <c r="F332" s="327">
        <f t="shared" si="129"/>
        <v>6.1265342532830142E-2</v>
      </c>
      <c r="G332" s="326">
        <f t="shared" si="130"/>
        <v>1</v>
      </c>
      <c r="H332" s="327">
        <f t="shared" si="131"/>
        <v>0</v>
      </c>
      <c r="I332" s="325">
        <f t="shared" si="132"/>
        <v>8053.7813983225433</v>
      </c>
      <c r="J332" s="328">
        <f t="shared" si="133"/>
        <v>1.5706721615173567</v>
      </c>
      <c r="K332" s="336">
        <f t="shared" si="153"/>
        <v>5.7836416964037012</v>
      </c>
      <c r="L332" s="337">
        <f t="shared" si="154"/>
        <v>1.3970216043785246</v>
      </c>
      <c r="M332" s="325">
        <f t="shared" si="134"/>
        <v>1.0241573793066177</v>
      </c>
      <c r="N332" s="337">
        <f t="shared" si="135"/>
        <v>0.21762758161351198</v>
      </c>
      <c r="O332" s="343">
        <f t="shared" si="136"/>
        <v>1.010007668948254</v>
      </c>
      <c r="P332" s="691">
        <f t="shared" si="137"/>
        <v>0.14088942006794461</v>
      </c>
      <c r="Q332" s="336">
        <f t="shared" si="152"/>
        <v>4.2716441112914314</v>
      </c>
      <c r="R332" s="692">
        <f t="shared" si="138"/>
        <v>0.23360740038335395</v>
      </c>
      <c r="S332" s="329">
        <f t="shared" si="139"/>
        <v>0.99558973437454101</v>
      </c>
      <c r="T332" s="330">
        <f t="shared" si="140"/>
        <v>0.14233873931861532</v>
      </c>
      <c r="U332" s="331">
        <f t="shared" si="141"/>
        <v>4.45823537452981</v>
      </c>
      <c r="V332" s="332">
        <f t="shared" si="142"/>
        <v>-121.2741091378293</v>
      </c>
      <c r="W332" s="334">
        <f t="shared" si="143"/>
        <v>58.725890862170701</v>
      </c>
      <c r="Y332" s="307">
        <f t="shared" si="144"/>
        <v>1000000000</v>
      </c>
      <c r="Z332" s="307">
        <f t="shared" si="145"/>
        <v>595713852.5625</v>
      </c>
      <c r="AB332" s="333">
        <f t="shared" si="146"/>
        <v>34.623921280925252</v>
      </c>
      <c r="AC332" s="334">
        <f t="shared" si="147"/>
        <v>-22.418585991860507</v>
      </c>
      <c r="AE332" s="333">
        <f t="shared" si="148"/>
        <v>-5.599078254945046</v>
      </c>
      <c r="AF332" s="334">
        <f t="shared" si="149"/>
        <v>-93.543174182848531</v>
      </c>
      <c r="AH332">
        <f t="shared" si="150"/>
        <v>0</v>
      </c>
      <c r="AI332">
        <f t="shared" si="155"/>
        <v>0</v>
      </c>
    </row>
    <row r="333" spans="1:35" x14ac:dyDescent="0.25">
      <c r="A333" s="335">
        <v>24547</v>
      </c>
      <c r="B333" s="352">
        <f t="shared" si="151"/>
        <v>24.547000000000001</v>
      </c>
      <c r="C333" s="325">
        <f t="shared" ref="C333:C396" si="156">SQRT(1+(A333/pole1)^2)</f>
        <v>52.293854749060046</v>
      </c>
      <c r="D333" s="326">
        <f t="shared" ref="D333:D396" si="157">ATAN(A333/pole1)</f>
        <v>1.5516724553353711</v>
      </c>
      <c r="E333" s="326">
        <f t="shared" ref="E333:E396" si="158">SQRT(1+(A333/Zero1)^2)</f>
        <v>1.0019012267577054</v>
      </c>
      <c r="F333" s="327">
        <f t="shared" ref="F333:F396" si="159">ATAN(A333/Zero1)</f>
        <v>6.1615248393159953E-2</v>
      </c>
      <c r="G333" s="326">
        <f t="shared" ref="G333:G396" si="160">IF(VIN_nom&gt;Vout, 1, SQRT(1+(A333/z_RHP)^2))</f>
        <v>1</v>
      </c>
      <c r="H333" s="327">
        <f t="shared" ref="H333:H396" si="161">IF(VIN_nom&gt;Vout, 0, -ATAN(A333/z_RHP))</f>
        <v>0</v>
      </c>
      <c r="I333" s="325">
        <f t="shared" ref="I333:I396" si="162">SQRT(1+(A333/Pole2)^2)</f>
        <v>8099.8953985934822</v>
      </c>
      <c r="J333" s="328">
        <f t="shared" ref="J333:J396" si="163">ATAN(A333/Pole2)</f>
        <v>1.5706728684101483</v>
      </c>
      <c r="K333" s="336">
        <f t="shared" si="153"/>
        <v>5.8157701700030469</v>
      </c>
      <c r="L333" s="337">
        <f t="shared" si="154"/>
        <v>1.3979912994566381</v>
      </c>
      <c r="M333" s="325">
        <f t="shared" ref="M333:M396" si="164">SQRT(1+(A333/pole4)^2)</f>
        <v>1.0244315012500702</v>
      </c>
      <c r="N333" s="337">
        <f t="shared" ref="N333:N396" si="165">ATAN(A333/pole4)</f>
        <v>0.21883436826178287</v>
      </c>
      <c r="O333" s="343">
        <f t="shared" ref="O333:O396" si="166">IF(VOUT_setting=1,1,SQRT(1+(A333*zterm1)^2))</f>
        <v>1.0101220241466031</v>
      </c>
      <c r="P333" s="691">
        <f t="shared" ref="P333:P396" si="167">IF(VOUT_setting=1,0,ATAN(((A333*zterm1))))</f>
        <v>0.14168539579370953</v>
      </c>
      <c r="Q333" s="336">
        <f t="shared" si="152"/>
        <v>4.2729477071248949</v>
      </c>
      <c r="R333" s="692">
        <f t="shared" ref="R333:R396" si="168">IF(VOUT_setting=1,0,ATAN(A333*$Q$4/(1+Afbr-$Q$5*(A333)^2)))</f>
        <v>0.23489704251372495</v>
      </c>
      <c r="S333" s="329">
        <f t="shared" ref="S333:S396" si="169">SQRT((1-(Z333/pterm2))^2+(A333/pterm1)^2)</f>
        <v>0.99554019511320846</v>
      </c>
      <c r="T333" s="330">
        <f t="shared" ref="T333:T396" si="170">IF((ATAN((A333/pterm1)/(1-A333^2/pterm2))&gt;0),ATAN((A333/pterm1)/(1-A333^2/pterm2)),PI()+ATAN((A333/pterm1)/(1-A333^2/pterm2)))</f>
        <v>0.14316650665374758</v>
      </c>
      <c r="U333" s="331">
        <f t="shared" ref="U333:U396" si="171">20*LOG10(((E333*K333*G333*O333)/(C333*I333*S333*M333*Q333))*Adc)</f>
        <v>4.4038155333974531</v>
      </c>
      <c r="V333" s="332">
        <f t="shared" ref="V333:V396" si="172">((F333+L333+H333+P333)-(D333+J333+T333+N333+R333))*radconv</f>
        <v>-121.34967070146034</v>
      </c>
      <c r="W333" s="334">
        <f t="shared" ref="W333:W396" si="173">IF(V333&gt;0,V333,V333+180)</f>
        <v>58.65032929853966</v>
      </c>
      <c r="Y333" s="307">
        <f t="shared" ref="Y333:Y396" si="174">IF(U333&lt;0,A333,1000000000)</f>
        <v>1000000000</v>
      </c>
      <c r="Z333" s="307">
        <f t="shared" ref="Z333:Z396" si="175">A333^2</f>
        <v>602555209</v>
      </c>
      <c r="AB333" s="333">
        <f t="shared" ref="AB333:AB396" si="176">20*LOG10((K333/(I333*M333))*AEA)</f>
        <v>34.620122411483038</v>
      </c>
      <c r="AC333" s="334">
        <f t="shared" ref="AC333:AC396" si="177">(L333-(J333+N333))*radconv</f>
        <v>-22.432210840177746</v>
      </c>
      <c r="AE333" s="333">
        <f t="shared" ref="AE333:AE396" si="178">20*LOG10((E333*G333/(C333*S333))*Acs*Am)</f>
        <v>-5.6480323001426624</v>
      </c>
      <c r="AF333" s="334">
        <f t="shared" ref="AF333:AF396" si="179">(F333+H333-(D333+T333))*radconv</f>
        <v>-93.576825896658661</v>
      </c>
      <c r="AH333">
        <f t="shared" ref="AH333:AH396" si="180">SUM((U334&lt;0)*(U333&gt;0))*A333</f>
        <v>0</v>
      </c>
      <c r="AI333">
        <f t="shared" si="155"/>
        <v>0</v>
      </c>
    </row>
    <row r="334" spans="1:35" x14ac:dyDescent="0.25">
      <c r="A334" s="335">
        <v>24690</v>
      </c>
      <c r="B334" s="352">
        <f t="shared" ref="B334:B397" si="181">A334/1000</f>
        <v>24.69</v>
      </c>
      <c r="C334" s="325">
        <f t="shared" si="156"/>
        <v>52.598384614147655</v>
      </c>
      <c r="D334" s="326">
        <f t="shared" si="157"/>
        <v>1.5517831905594595</v>
      </c>
      <c r="E334" s="326">
        <f t="shared" si="158"/>
        <v>1.0019234213731738</v>
      </c>
      <c r="F334" s="327">
        <f t="shared" si="159"/>
        <v>6.1973275961272188E-2</v>
      </c>
      <c r="G334" s="326">
        <f t="shared" si="160"/>
        <v>1</v>
      </c>
      <c r="H334" s="327">
        <f t="shared" si="161"/>
        <v>0</v>
      </c>
      <c r="I334" s="325">
        <f t="shared" si="162"/>
        <v>8147.0818174795149</v>
      </c>
      <c r="J334" s="328">
        <f t="shared" si="163"/>
        <v>1.570673583458704</v>
      </c>
      <c r="K334" s="336">
        <f t="shared" si="153"/>
        <v>5.8486514153498268</v>
      </c>
      <c r="L334" s="337">
        <f t="shared" si="154"/>
        <v>1.3989725164387994</v>
      </c>
      <c r="M334" s="325">
        <f t="shared" si="164"/>
        <v>1.0247135416466204</v>
      </c>
      <c r="N334" s="337">
        <f t="shared" si="165"/>
        <v>0.22006854951508203</v>
      </c>
      <c r="O334" s="343">
        <f t="shared" si="166"/>
        <v>1.0102397011049447</v>
      </c>
      <c r="P334" s="691">
        <f t="shared" si="167"/>
        <v>0.14249969551529956</v>
      </c>
      <c r="Q334" s="336">
        <f t="shared" si="152"/>
        <v>4.2742889084393587</v>
      </c>
      <c r="R334" s="692">
        <f t="shared" si="168"/>
        <v>0.23621586329877475</v>
      </c>
      <c r="S334" s="329">
        <f t="shared" si="169"/>
        <v>0.99548923741936501</v>
      </c>
      <c r="T334" s="330">
        <f t="shared" si="170"/>
        <v>0.14401375075338466</v>
      </c>
      <c r="U334" s="331">
        <f t="shared" si="171"/>
        <v>4.3484291410832281</v>
      </c>
      <c r="V334" s="332">
        <f t="shared" si="172"/>
        <v>-121.42748708703721</v>
      </c>
      <c r="W334" s="334">
        <f t="shared" si="173"/>
        <v>58.572512912962793</v>
      </c>
      <c r="Y334" s="307">
        <f t="shared" si="174"/>
        <v>1000000000</v>
      </c>
      <c r="Z334" s="307">
        <f t="shared" si="175"/>
        <v>609596100</v>
      </c>
      <c r="AB334" s="333">
        <f t="shared" si="176"/>
        <v>34.616248092296885</v>
      </c>
      <c r="AC334" s="334">
        <f t="shared" si="177"/>
        <v>-22.44674559456255</v>
      </c>
      <c r="AE334" s="333">
        <f t="shared" si="178"/>
        <v>-5.6978302845568845</v>
      </c>
      <c r="AF334" s="334">
        <f t="shared" si="179"/>
        <v>-93.611200600206061</v>
      </c>
      <c r="AH334">
        <f t="shared" si="180"/>
        <v>0</v>
      </c>
      <c r="AI334">
        <f t="shared" si="155"/>
        <v>0</v>
      </c>
    </row>
    <row r="335" spans="1:35" x14ac:dyDescent="0.25">
      <c r="A335" s="335">
        <v>24833</v>
      </c>
      <c r="B335" s="352">
        <f t="shared" si="181"/>
        <v>24.832999999999998</v>
      </c>
      <c r="C335" s="325">
        <f t="shared" si="156"/>
        <v>52.902915116786424</v>
      </c>
      <c r="D335" s="326">
        <f t="shared" si="157"/>
        <v>1.5518926509117106</v>
      </c>
      <c r="E335" s="326">
        <f t="shared" si="158"/>
        <v>1.0019457444132334</v>
      </c>
      <c r="F335" s="327">
        <f t="shared" si="159"/>
        <v>6.2331287621787898E-2</v>
      </c>
      <c r="G335" s="326">
        <f t="shared" si="160"/>
        <v>1</v>
      </c>
      <c r="H335" s="327">
        <f t="shared" si="161"/>
        <v>0</v>
      </c>
      <c r="I335" s="325">
        <f t="shared" si="162"/>
        <v>8194.2682363696658</v>
      </c>
      <c r="J335" s="328">
        <f t="shared" si="163"/>
        <v>1.5706742902720936</v>
      </c>
      <c r="K335" s="336">
        <f t="shared" si="153"/>
        <v>5.8815382287364226</v>
      </c>
      <c r="L335" s="337">
        <f t="shared" si="154"/>
        <v>1.3999427613327131</v>
      </c>
      <c r="M335" s="325">
        <f t="shared" si="164"/>
        <v>1.024997142029928</v>
      </c>
      <c r="N335" s="337">
        <f t="shared" si="165"/>
        <v>0.22130204968979855</v>
      </c>
      <c r="O335" s="343">
        <f t="shared" si="166"/>
        <v>1.0103580477808047</v>
      </c>
      <c r="P335" s="691">
        <f t="shared" si="167"/>
        <v>0.14331380501321347</v>
      </c>
      <c r="Q335" s="336">
        <f t="shared" ref="Q335:Q398" si="182">IF(VOUT_setting=1,1,SQRT((1+Afbr-$Q$5*(A335)^2)^2+(A335*$Q$4)^2))</f>
        <v>4.2756374759520837</v>
      </c>
      <c r="R335" s="692">
        <f t="shared" si="168"/>
        <v>0.23753385799154866</v>
      </c>
      <c r="S335" s="329">
        <f t="shared" si="169"/>
        <v>0.99543801077500638</v>
      </c>
      <c r="T335" s="330">
        <f t="shared" si="170"/>
        <v>0.14486122513687139</v>
      </c>
      <c r="U335" s="331">
        <f t="shared" si="171"/>
        <v>4.2933413119952855</v>
      </c>
      <c r="V335" s="332">
        <f t="shared" si="172"/>
        <v>-121.5057972605632</v>
      </c>
      <c r="W335" s="334">
        <f t="shared" si="173"/>
        <v>58.494202739436801</v>
      </c>
      <c r="Y335" s="307">
        <f t="shared" si="174"/>
        <v>1000000000</v>
      </c>
      <c r="Z335" s="307">
        <f t="shared" si="175"/>
        <v>616677889</v>
      </c>
      <c r="AB335" s="333">
        <f t="shared" si="176"/>
        <v>34.612386268685036</v>
      </c>
      <c r="AC335" s="334">
        <f t="shared" si="177"/>
        <v>-22.461869508528494</v>
      </c>
      <c r="AE335" s="333">
        <f t="shared" si="178"/>
        <v>-5.7473337318081565</v>
      </c>
      <c r="AF335" s="334">
        <f t="shared" si="179"/>
        <v>-93.645516364708485</v>
      </c>
      <c r="AH335">
        <f t="shared" si="180"/>
        <v>0</v>
      </c>
      <c r="AI335">
        <f t="shared" si="155"/>
        <v>0</v>
      </c>
    </row>
    <row r="336" spans="1:35" x14ac:dyDescent="0.25">
      <c r="A336" s="335">
        <v>24976</v>
      </c>
      <c r="B336" s="352">
        <f t="shared" si="181"/>
        <v>24.975999999999999</v>
      </c>
      <c r="C336" s="325">
        <f t="shared" si="156"/>
        <v>53.20744624602937</v>
      </c>
      <c r="D336" s="326">
        <f t="shared" si="157"/>
        <v>1.5520008582795446</v>
      </c>
      <c r="E336" s="326">
        <f t="shared" si="158"/>
        <v>1.001968195869301</v>
      </c>
      <c r="F336" s="327">
        <f t="shared" si="159"/>
        <v>6.2689283283999017E-2</v>
      </c>
      <c r="G336" s="326">
        <f t="shared" si="160"/>
        <v>1</v>
      </c>
      <c r="H336" s="327">
        <f t="shared" si="161"/>
        <v>0</v>
      </c>
      <c r="I336" s="325">
        <f t="shared" si="162"/>
        <v>8241.4546552638622</v>
      </c>
      <c r="J336" s="328">
        <f t="shared" si="163"/>
        <v>1.5706749889917679</v>
      </c>
      <c r="K336" s="336">
        <f t="shared" si="153"/>
        <v>5.9144305172806417</v>
      </c>
      <c r="L336" s="337">
        <f t="shared" si="154"/>
        <v>1.4009022153555055</v>
      </c>
      <c r="M336" s="325">
        <f t="shared" si="164"/>
        <v>1.0252823011054826</v>
      </c>
      <c r="N336" s="337">
        <f t="shared" si="165"/>
        <v>0.2225348655990726</v>
      </c>
      <c r="O336" s="343">
        <f t="shared" si="166"/>
        <v>1.0104770639388725</v>
      </c>
      <c r="P336" s="691">
        <f t="shared" si="167"/>
        <v>0.14412772327533677</v>
      </c>
      <c r="Q336" s="336">
        <f t="shared" si="182"/>
        <v>4.2769934026957372</v>
      </c>
      <c r="R336" s="692">
        <f t="shared" si="168"/>
        <v>0.23885102285521187</v>
      </c>
      <c r="S336" s="329">
        <f t="shared" si="169"/>
        <v>0.99538651565426473</v>
      </c>
      <c r="T336" s="330">
        <f t="shared" si="170"/>
        <v>0.1457089311348265</v>
      </c>
      <c r="U336" s="331">
        <f t="shared" si="171"/>
        <v>4.2385481900591353</v>
      </c>
      <c r="V336" s="332">
        <f t="shared" si="172"/>
        <v>-121.58459184395049</v>
      </c>
      <c r="W336" s="334">
        <f t="shared" si="173"/>
        <v>58.415408156049509</v>
      </c>
      <c r="Y336" s="307">
        <f t="shared" si="174"/>
        <v>1000000000</v>
      </c>
      <c r="Z336" s="307">
        <f t="shared" si="175"/>
        <v>623800576</v>
      </c>
      <c r="AB336" s="333">
        <f t="shared" si="176"/>
        <v>34.608536403666307</v>
      </c>
      <c r="AC336" s="334">
        <f t="shared" si="177"/>
        <v>-22.47757202460997</v>
      </c>
      <c r="AE336" s="333">
        <f t="shared" si="178"/>
        <v>-5.7965459847398328</v>
      </c>
      <c r="AF336" s="334">
        <f t="shared" si="179"/>
        <v>-93.679774525658814</v>
      </c>
      <c r="AH336">
        <f t="shared" si="180"/>
        <v>0</v>
      </c>
      <c r="AI336">
        <f t="shared" si="155"/>
        <v>0</v>
      </c>
    </row>
    <row r="337" spans="1:35" x14ac:dyDescent="0.25">
      <c r="A337" s="335">
        <v>25119</v>
      </c>
      <c r="B337" s="352">
        <f t="shared" si="181"/>
        <v>25.119</v>
      </c>
      <c r="C337" s="325">
        <f t="shared" si="156"/>
        <v>53.511977991178654</v>
      </c>
      <c r="D337" s="326">
        <f t="shared" si="157"/>
        <v>1.5521078340522627</v>
      </c>
      <c r="E337" s="326">
        <f t="shared" si="158"/>
        <v>1.0019907757327442</v>
      </c>
      <c r="F337" s="327">
        <f t="shared" si="159"/>
        <v>6.3047262857221981E-2</v>
      </c>
      <c r="G337" s="326">
        <f t="shared" si="160"/>
        <v>1</v>
      </c>
      <c r="H337" s="327">
        <f t="shared" si="161"/>
        <v>0</v>
      </c>
      <c r="I337" s="325">
        <f t="shared" si="162"/>
        <v>8288.6410741620384</v>
      </c>
      <c r="J337" s="328">
        <f t="shared" si="163"/>
        <v>1.5706756797559576</v>
      </c>
      <c r="K337" s="336">
        <f t="shared" si="153"/>
        <v>5.9473281901397792</v>
      </c>
      <c r="L337" s="337">
        <f t="shared" si="154"/>
        <v>1.4018510557951629</v>
      </c>
      <c r="M337" s="325">
        <f t="shared" si="164"/>
        <v>1.0255690175731029</v>
      </c>
      <c r="N337" s="337">
        <f t="shared" si="165"/>
        <v>0.22376699406789888</v>
      </c>
      <c r="O337" s="343">
        <f t="shared" si="166"/>
        <v>1.0105967493426165</v>
      </c>
      <c r="P337" s="691">
        <f t="shared" si="167"/>
        <v>0.14494144929104386</v>
      </c>
      <c r="Q337" s="336">
        <f t="shared" si="182"/>
        <v>4.2783566816738201</v>
      </c>
      <c r="R337" s="692">
        <f t="shared" si="168"/>
        <v>0.24016735416907264</v>
      </c>
      <c r="S337" s="329">
        <f t="shared" si="169"/>
        <v>0.99533475253413106</v>
      </c>
      <c r="T337" s="330">
        <f t="shared" si="170"/>
        <v>0.14655687007777102</v>
      </c>
      <c r="U337" s="331">
        <f t="shared" si="171"/>
        <v>4.1840459918524289</v>
      </c>
      <c r="V337" s="332">
        <f t="shared" si="172"/>
        <v>-121.66386165702167</v>
      </c>
      <c r="W337" s="334">
        <f t="shared" si="173"/>
        <v>58.33613834297833</v>
      </c>
      <c r="Y337" s="307">
        <f t="shared" si="174"/>
        <v>1000000000</v>
      </c>
      <c r="Z337" s="307">
        <f t="shared" si="175"/>
        <v>630964161</v>
      </c>
      <c r="AB337" s="333">
        <f t="shared" si="176"/>
        <v>34.604697975748536</v>
      </c>
      <c r="AC337" s="334">
        <f t="shared" si="177"/>
        <v>-22.493842810959215</v>
      </c>
      <c r="AE337" s="333">
        <f t="shared" si="178"/>
        <v>-5.8454703291131569</v>
      </c>
      <c r="AF337" s="334">
        <f t="shared" si="179"/>
        <v>-93.713976390002713</v>
      </c>
      <c r="AH337">
        <f t="shared" si="180"/>
        <v>0</v>
      </c>
      <c r="AI337">
        <f t="shared" si="155"/>
        <v>0</v>
      </c>
    </row>
    <row r="338" spans="1:35" x14ac:dyDescent="0.25">
      <c r="A338" s="335">
        <v>25265.25</v>
      </c>
      <c r="B338" s="352">
        <f t="shared" si="181"/>
        <v>25.265250000000002</v>
      </c>
      <c r="C338" s="325">
        <f t="shared" si="156"/>
        <v>53.823431538520921</v>
      </c>
      <c r="D338" s="326">
        <f t="shared" si="157"/>
        <v>1.5522159889775149</v>
      </c>
      <c r="E338" s="326">
        <f t="shared" si="158"/>
        <v>1.0020140015839174</v>
      </c>
      <c r="F338" s="327">
        <f t="shared" si="159"/>
        <v>6.3413361593721504E-2</v>
      </c>
      <c r="G338" s="326">
        <f t="shared" si="160"/>
        <v>1</v>
      </c>
      <c r="H338" s="327">
        <f t="shared" si="161"/>
        <v>0</v>
      </c>
      <c r="I338" s="325">
        <f t="shared" si="162"/>
        <v>8336.8999116755786</v>
      </c>
      <c r="J338" s="328">
        <f t="shared" si="163"/>
        <v>1.5706763781313655</v>
      </c>
      <c r="K338" s="336">
        <f t="shared" si="153"/>
        <v>5.9809790140482617</v>
      </c>
      <c r="L338" s="337">
        <f t="shared" si="154"/>
        <v>1.4028106633984234</v>
      </c>
      <c r="M338" s="325">
        <f t="shared" si="164"/>
        <v>1.0258638598503298</v>
      </c>
      <c r="N338" s="337">
        <f t="shared" si="165"/>
        <v>0.22502641110652991</v>
      </c>
      <c r="O338" s="343">
        <f t="shared" si="166"/>
        <v>1.0107198468550997</v>
      </c>
      <c r="P338" s="691">
        <f t="shared" si="167"/>
        <v>0.14577346917822231</v>
      </c>
      <c r="Q338" s="336">
        <f t="shared" si="182"/>
        <v>4.279758541720609</v>
      </c>
      <c r="R338" s="692">
        <f t="shared" si="168"/>
        <v>0.24151273606146653</v>
      </c>
      <c r="S338" s="329">
        <f t="shared" si="169"/>
        <v>0.99528153627461013</v>
      </c>
      <c r="T338" s="330">
        <f t="shared" si="170"/>
        <v>0.14742432269333039</v>
      </c>
      <c r="U338" s="331">
        <f t="shared" si="171"/>
        <v>4.1286021552670027</v>
      </c>
      <c r="V338" s="332">
        <f t="shared" si="172"/>
        <v>-121.74541524470753</v>
      </c>
      <c r="W338" s="334">
        <f t="shared" si="173"/>
        <v>58.25458475529247</v>
      </c>
      <c r="Y338" s="307">
        <f t="shared" si="174"/>
        <v>1000000000</v>
      </c>
      <c r="Z338" s="307">
        <f t="shared" si="175"/>
        <v>638332857.5625</v>
      </c>
      <c r="AB338" s="333">
        <f t="shared" si="176"/>
        <v>34.600783612999336</v>
      </c>
      <c r="AC338" s="334">
        <f t="shared" si="177"/>
        <v>-22.511060640247216</v>
      </c>
      <c r="AE338" s="333">
        <f t="shared" si="178"/>
        <v>-5.8952121583309065</v>
      </c>
      <c r="AF338" s="334">
        <f t="shared" si="179"/>
        <v>-93.748898672105753</v>
      </c>
      <c r="AH338">
        <f t="shared" si="180"/>
        <v>0</v>
      </c>
      <c r="AI338">
        <f t="shared" si="155"/>
        <v>0</v>
      </c>
    </row>
    <row r="339" spans="1:35" x14ac:dyDescent="0.25">
      <c r="A339" s="335">
        <v>25411.5</v>
      </c>
      <c r="B339" s="352">
        <f t="shared" si="181"/>
        <v>25.4115</v>
      </c>
      <c r="C339" s="325">
        <f t="shared" si="156"/>
        <v>54.134885708217588</v>
      </c>
      <c r="D339" s="326">
        <f t="shared" si="157"/>
        <v>1.5523228994088156</v>
      </c>
      <c r="E339" s="326">
        <f t="shared" si="158"/>
        <v>1.0020373617270728</v>
      </c>
      <c r="F339" s="327">
        <f t="shared" si="159"/>
        <v>6.3779443309823283E-2</v>
      </c>
      <c r="G339" s="326">
        <f t="shared" si="160"/>
        <v>1</v>
      </c>
      <c r="H339" s="327">
        <f t="shared" si="161"/>
        <v>0</v>
      </c>
      <c r="I339" s="325">
        <f t="shared" si="162"/>
        <v>8385.1587491931386</v>
      </c>
      <c r="J339" s="328">
        <f t="shared" si="163"/>
        <v>1.570677068468098</v>
      </c>
      <c r="K339" s="336">
        <f t="shared" si="153"/>
        <v>6.0146352838911952</v>
      </c>
      <c r="L339" s="337">
        <f t="shared" si="154"/>
        <v>1.4037595324588856</v>
      </c>
      <c r="M339" s="325">
        <f t="shared" si="164"/>
        <v>1.0261603283457592</v>
      </c>
      <c r="N339" s="337">
        <f t="shared" si="165"/>
        <v>0.22628510242303443</v>
      </c>
      <c r="O339" s="343">
        <f t="shared" si="166"/>
        <v>1.0108436438748736</v>
      </c>
      <c r="P339" s="691">
        <f t="shared" si="167"/>
        <v>0.14660528584781171</v>
      </c>
      <c r="Q339" s="336">
        <f t="shared" si="182"/>
        <v>4.2811680770966962</v>
      </c>
      <c r="R339" s="692">
        <f t="shared" si="168"/>
        <v>0.24285723826481456</v>
      </c>
      <c r="S339" s="329">
        <f t="shared" si="169"/>
        <v>0.9952280407138151</v>
      </c>
      <c r="T339" s="330">
        <f t="shared" si="170"/>
        <v>0.14829202177729262</v>
      </c>
      <c r="U339" s="331">
        <f t="shared" si="171"/>
        <v>4.073454836770936</v>
      </c>
      <c r="V339" s="332">
        <f t="shared" si="172"/>
        <v>-121.82744709776304</v>
      </c>
      <c r="W339" s="334">
        <f t="shared" si="173"/>
        <v>58.172552902236959</v>
      </c>
      <c r="Y339" s="307">
        <f t="shared" si="174"/>
        <v>1000000000</v>
      </c>
      <c r="Z339" s="307">
        <f t="shared" si="175"/>
        <v>645744332.25</v>
      </c>
      <c r="AB339" s="333">
        <f t="shared" si="176"/>
        <v>34.596880157236917</v>
      </c>
      <c r="AC339" s="334">
        <f t="shared" si="177"/>
        <v>-22.528851701319201</v>
      </c>
      <c r="AE339" s="333">
        <f t="shared" si="178"/>
        <v>-5.9446596180267965</v>
      </c>
      <c r="AF339" s="334">
        <f t="shared" si="179"/>
        <v>-93.783764746753917</v>
      </c>
      <c r="AH339">
        <f t="shared" si="180"/>
        <v>0</v>
      </c>
      <c r="AI339">
        <f t="shared" si="155"/>
        <v>0</v>
      </c>
    </row>
    <row r="340" spans="1:35" x14ac:dyDescent="0.25">
      <c r="A340" s="335">
        <v>25557.75</v>
      </c>
      <c r="B340" s="352">
        <f t="shared" si="181"/>
        <v>25.557749999999999</v>
      </c>
      <c r="C340" s="325">
        <f t="shared" si="156"/>
        <v>54.446340489588337</v>
      </c>
      <c r="D340" s="326">
        <f t="shared" si="157"/>
        <v>1.5524285867007048</v>
      </c>
      <c r="E340" s="326">
        <f t="shared" si="158"/>
        <v>1.0020608561528179</v>
      </c>
      <c r="F340" s="327">
        <f t="shared" si="159"/>
        <v>6.4145507908599686E-2</v>
      </c>
      <c r="G340" s="326">
        <f t="shared" si="160"/>
        <v>1</v>
      </c>
      <c r="H340" s="327">
        <f t="shared" si="161"/>
        <v>0</v>
      </c>
      <c r="I340" s="325">
        <f t="shared" si="162"/>
        <v>8433.4175867146496</v>
      </c>
      <c r="J340" s="328">
        <f t="shared" si="163"/>
        <v>1.5706777509041547</v>
      </c>
      <c r="K340" s="336">
        <f t="shared" si="153"/>
        <v>6.0482969087554626</v>
      </c>
      <c r="L340" s="337">
        <f t="shared" si="154"/>
        <v>1.4046978405486619</v>
      </c>
      <c r="M340" s="325">
        <f t="shared" si="164"/>
        <v>1.0264584216503054</v>
      </c>
      <c r="N340" s="337">
        <f t="shared" si="165"/>
        <v>0.22754306465967183</v>
      </c>
      <c r="O340" s="343">
        <f t="shared" si="166"/>
        <v>1.0109681401449662</v>
      </c>
      <c r="P340" s="691">
        <f t="shared" si="167"/>
        <v>0.14743689822357928</v>
      </c>
      <c r="Q340" s="336">
        <f t="shared" si="182"/>
        <v>4.2825852802240574</v>
      </c>
      <c r="R340" s="692">
        <f t="shared" si="168"/>
        <v>0.24420085685158935</v>
      </c>
      <c r="S340" s="329">
        <f t="shared" si="169"/>
        <v>0.99517426637129547</v>
      </c>
      <c r="T340" s="330">
        <f t="shared" si="170"/>
        <v>0.14915996875264473</v>
      </c>
      <c r="U340" s="331">
        <f t="shared" si="171"/>
        <v>4.0186002133273266</v>
      </c>
      <c r="V340" s="332">
        <f t="shared" si="172"/>
        <v>-121.90994800482055</v>
      </c>
      <c r="W340" s="334">
        <f t="shared" si="173"/>
        <v>58.090051995179451</v>
      </c>
      <c r="Y340" s="307">
        <f t="shared" si="174"/>
        <v>1000000000</v>
      </c>
      <c r="Z340" s="307">
        <f t="shared" si="175"/>
        <v>653198585.0625</v>
      </c>
      <c r="AB340" s="333">
        <f t="shared" si="176"/>
        <v>34.592987097644382</v>
      </c>
      <c r="AC340" s="334">
        <f t="shared" si="177"/>
        <v>-22.547205635565021</v>
      </c>
      <c r="AE340" s="333">
        <f t="shared" si="178"/>
        <v>-5.9938160461716752</v>
      </c>
      <c r="AF340" s="334">
        <f t="shared" si="179"/>
        <v>-93.81857592455691</v>
      </c>
      <c r="AH340">
        <f t="shared" si="180"/>
        <v>0</v>
      </c>
      <c r="AI340">
        <f t="shared" si="155"/>
        <v>0</v>
      </c>
    </row>
    <row r="341" spans="1:35" x14ac:dyDescent="0.25">
      <c r="A341" s="335">
        <v>25704</v>
      </c>
      <c r="B341" s="352">
        <f t="shared" si="181"/>
        <v>25.704000000000001</v>
      </c>
      <c r="C341" s="325">
        <f t="shared" si="156"/>
        <v>54.757795872195814</v>
      </c>
      <c r="D341" s="326">
        <f t="shared" si="157"/>
        <v>1.5525330717219856</v>
      </c>
      <c r="E341" s="326">
        <f t="shared" si="158"/>
        <v>1.0020844848517081</v>
      </c>
      <c r="F341" s="327">
        <f t="shared" si="159"/>
        <v>6.4511555293150391E-2</v>
      </c>
      <c r="G341" s="326">
        <f t="shared" si="160"/>
        <v>1</v>
      </c>
      <c r="H341" s="327">
        <f t="shared" si="161"/>
        <v>0</v>
      </c>
      <c r="I341" s="325">
        <f t="shared" si="162"/>
        <v>8481.6764242400441</v>
      </c>
      <c r="J341" s="328">
        <f t="shared" si="163"/>
        <v>1.5706784255743951</v>
      </c>
      <c r="K341" s="336">
        <f t="shared" si="153"/>
        <v>6.0819637997263367</v>
      </c>
      <c r="L341" s="337">
        <f t="shared" si="154"/>
        <v>1.405625761383368</v>
      </c>
      <c r="M341" s="325">
        <f t="shared" si="164"/>
        <v>1.026758138348802</v>
      </c>
      <c r="N341" s="337">
        <f t="shared" si="165"/>
        <v>0.22880029447182024</v>
      </c>
      <c r="O341" s="343">
        <f t="shared" si="166"/>
        <v>1.0110933354070806</v>
      </c>
      <c r="P341" s="691">
        <f t="shared" si="167"/>
        <v>0.14826830523095119</v>
      </c>
      <c r="Q341" s="336">
        <f t="shared" si="182"/>
        <v>4.2840101434935045</v>
      </c>
      <c r="R341" s="692">
        <f t="shared" si="168"/>
        <v>0.24554358791209796</v>
      </c>
      <c r="S341" s="329">
        <f t="shared" si="169"/>
        <v>0.99512021376973747</v>
      </c>
      <c r="T341" s="330">
        <f t="shared" si="170"/>
        <v>0.15002816504225866</v>
      </c>
      <c r="U341" s="331">
        <f t="shared" si="171"/>
        <v>3.9640345337810152</v>
      </c>
      <c r="V341" s="332">
        <f t="shared" si="172"/>
        <v>-121.9929089491331</v>
      </c>
      <c r="W341" s="334">
        <f t="shared" si="173"/>
        <v>58.007091050866904</v>
      </c>
      <c r="Y341" s="307">
        <f t="shared" si="174"/>
        <v>1000000000</v>
      </c>
      <c r="Z341" s="307">
        <f t="shared" si="175"/>
        <v>660695616</v>
      </c>
      <c r="AB341" s="333">
        <f t="shared" si="176"/>
        <v>34.589103938239461</v>
      </c>
      <c r="AC341" s="334">
        <f t="shared" si="177"/>
        <v>-22.566112305907161</v>
      </c>
      <c r="AE341" s="333">
        <f t="shared" si="178"/>
        <v>-6.0426847237743413</v>
      </c>
      <c r="AF341" s="334">
        <f t="shared" si="179"/>
        <v>-93.853333488285585</v>
      </c>
      <c r="AH341">
        <f t="shared" si="180"/>
        <v>0</v>
      </c>
      <c r="AI341">
        <f t="shared" si="155"/>
        <v>0</v>
      </c>
    </row>
    <row r="342" spans="1:35" x14ac:dyDescent="0.25">
      <c r="A342" s="335">
        <v>25853.75</v>
      </c>
      <c r="B342" s="352">
        <f t="shared" si="181"/>
        <v>25.853750000000002</v>
      </c>
      <c r="C342" s="325">
        <f t="shared" si="156"/>
        <v>55.076705500229842</v>
      </c>
      <c r="D342" s="326">
        <f t="shared" si="157"/>
        <v>1.5526388327667233</v>
      </c>
      <c r="E342" s="326">
        <f t="shared" si="158"/>
        <v>1.0021088181454707</v>
      </c>
      <c r="F342" s="327">
        <f t="shared" si="159"/>
        <v>6.4886344847769076E-2</v>
      </c>
      <c r="G342" s="326">
        <f t="shared" si="160"/>
        <v>1</v>
      </c>
      <c r="H342" s="327">
        <f t="shared" si="161"/>
        <v>0</v>
      </c>
      <c r="I342" s="325">
        <f t="shared" si="162"/>
        <v>8531.090174120427</v>
      </c>
      <c r="J342" s="328">
        <f t="shared" si="163"/>
        <v>1.5706791084814244</v>
      </c>
      <c r="K342" s="336">
        <f t="shared" si="153"/>
        <v>6.116441759900721</v>
      </c>
      <c r="L342" s="337">
        <f t="shared" si="154"/>
        <v>1.4065653032591654</v>
      </c>
      <c r="M342" s="325">
        <f t="shared" si="164"/>
        <v>1.0270667084046929</v>
      </c>
      <c r="N342" s="337">
        <f t="shared" si="165"/>
        <v>0.23008684942917329</v>
      </c>
      <c r="O342" s="343">
        <f t="shared" si="166"/>
        <v>1.0112222508081661</v>
      </c>
      <c r="P342" s="691">
        <f t="shared" si="167"/>
        <v>0.14911939523816617</v>
      </c>
      <c r="Q342" s="336">
        <f t="shared" si="182"/>
        <v>4.2854770353900111</v>
      </c>
      <c r="R342" s="692">
        <f t="shared" si="168"/>
        <v>0.24691752900235789</v>
      </c>
      <c r="S342" s="329">
        <f t="shared" si="169"/>
        <v>0.99506457982335728</v>
      </c>
      <c r="T342" s="330">
        <f t="shared" si="170"/>
        <v>0.15091739850036806</v>
      </c>
      <c r="U342" s="331">
        <f t="shared" si="171"/>
        <v>3.9084585636551838</v>
      </c>
      <c r="V342" s="332">
        <f t="shared" si="172"/>
        <v>-122.07832274826919</v>
      </c>
      <c r="W342" s="334">
        <f t="shared" si="173"/>
        <v>57.921677251730813</v>
      </c>
      <c r="Y342" s="307">
        <f t="shared" si="174"/>
        <v>1000000000</v>
      </c>
      <c r="Z342" s="307">
        <f t="shared" si="175"/>
        <v>668416389.0625</v>
      </c>
      <c r="AB342" s="333">
        <f t="shared" si="176"/>
        <v>34.585137603985125</v>
      </c>
      <c r="AC342" s="334">
        <f t="shared" si="177"/>
        <v>-22.586033818629478</v>
      </c>
      <c r="AE342" s="333">
        <f t="shared" si="178"/>
        <v>-6.0924281141035532</v>
      </c>
      <c r="AF342" s="334">
        <f t="shared" si="179"/>
        <v>-93.888868614292818</v>
      </c>
      <c r="AH342">
        <f t="shared" si="180"/>
        <v>0</v>
      </c>
      <c r="AI342">
        <f t="shared" si="155"/>
        <v>0</v>
      </c>
    </row>
    <row r="343" spans="1:35" x14ac:dyDescent="0.25">
      <c r="A343" s="335">
        <v>26003.5</v>
      </c>
      <c r="B343" s="352">
        <f t="shared" si="181"/>
        <v>26.003499999999999</v>
      </c>
      <c r="C343" s="325">
        <f t="shared" si="156"/>
        <v>55.395615737225576</v>
      </c>
      <c r="D343" s="326">
        <f t="shared" si="157"/>
        <v>1.5527433760888194</v>
      </c>
      <c r="E343" s="326">
        <f t="shared" si="158"/>
        <v>1.0021332921958159</v>
      </c>
      <c r="F343" s="327">
        <f t="shared" si="159"/>
        <v>6.5261116148844278E-2</v>
      </c>
      <c r="G343" s="326">
        <f t="shared" si="160"/>
        <v>1</v>
      </c>
      <c r="H343" s="327">
        <f t="shared" si="161"/>
        <v>0</v>
      </c>
      <c r="I343" s="325">
        <f t="shared" si="162"/>
        <v>8580.5039240047427</v>
      </c>
      <c r="J343" s="328">
        <f t="shared" si="163"/>
        <v>1.5706797835229489</v>
      </c>
      <c r="K343" s="336">
        <f t="shared" ref="K343:K406" si="183">SQRT(1+(A343/Zero2)^2)</f>
        <v>6.1509250587648108</v>
      </c>
      <c r="L343" s="337">
        <f t="shared" ref="L343:L406" si="184">ATAN(A343/Zero2)</f>
        <v>1.4074943114333163</v>
      </c>
      <c r="M343" s="325">
        <f t="shared" si="164"/>
        <v>1.0273769774628612</v>
      </c>
      <c r="N343" s="337">
        <f t="shared" si="165"/>
        <v>0.23137262943148415</v>
      </c>
      <c r="O343" s="343">
        <f t="shared" si="166"/>
        <v>1.0113518985052903</v>
      </c>
      <c r="P343" s="691">
        <f t="shared" si="167"/>
        <v>0.14997026765492369</v>
      </c>
      <c r="Q343" s="336">
        <f t="shared" si="182"/>
        <v>4.2869519422092761</v>
      </c>
      <c r="R343" s="692">
        <f t="shared" si="168"/>
        <v>0.2482905313394094</v>
      </c>
      <c r="S343" s="329">
        <f t="shared" si="169"/>
        <v>0.99500865525939963</v>
      </c>
      <c r="T343" s="330">
        <f t="shared" si="170"/>
        <v>0.15180689636742009</v>
      </c>
      <c r="U343" s="331">
        <f t="shared" si="171"/>
        <v>3.8531777962122571</v>
      </c>
      <c r="V343" s="332">
        <f t="shared" si="172"/>
        <v>-122.16420033715684</v>
      </c>
      <c r="W343" s="334">
        <f t="shared" si="173"/>
        <v>57.835799662843158</v>
      </c>
      <c r="Y343" s="307">
        <f t="shared" si="174"/>
        <v>1000000000</v>
      </c>
      <c r="Z343" s="307">
        <f t="shared" si="175"/>
        <v>676182012.25</v>
      </c>
      <c r="AB343" s="333">
        <f t="shared" si="176"/>
        <v>34.581180642575575</v>
      </c>
      <c r="AC343" s="334">
        <f t="shared" si="177"/>
        <v>-22.606514015685967</v>
      </c>
      <c r="AE343" s="333">
        <f t="shared" si="178"/>
        <v>-6.1418766011304351</v>
      </c>
      <c r="AF343" s="334">
        <f t="shared" si="179"/>
        <v>-93.924350165299472</v>
      </c>
      <c r="AH343">
        <f t="shared" si="180"/>
        <v>0</v>
      </c>
      <c r="AI343">
        <f t="shared" si="155"/>
        <v>0</v>
      </c>
    </row>
    <row r="344" spans="1:35" x14ac:dyDescent="0.25">
      <c r="A344" s="335">
        <v>26153.25</v>
      </c>
      <c r="B344" s="352">
        <f t="shared" si="181"/>
        <v>26.15325</v>
      </c>
      <c r="C344" s="325">
        <f t="shared" si="156"/>
        <v>55.714526572725909</v>
      </c>
      <c r="D344" s="326">
        <f t="shared" si="157"/>
        <v>1.5528467225967602</v>
      </c>
      <c r="E344" s="326">
        <f t="shared" si="158"/>
        <v>1.0021579069924313</v>
      </c>
      <c r="F344" s="327">
        <f t="shared" si="159"/>
        <v>6.5635869092441304E-2</v>
      </c>
      <c r="G344" s="326">
        <f t="shared" si="160"/>
        <v>1</v>
      </c>
      <c r="H344" s="327">
        <f t="shared" si="161"/>
        <v>0</v>
      </c>
      <c r="I344" s="325">
        <f t="shared" si="162"/>
        <v>8629.9176738929236</v>
      </c>
      <c r="J344" s="328">
        <f t="shared" si="163"/>
        <v>1.5706804508340793</v>
      </c>
      <c r="K344" s="336">
        <f t="shared" si="183"/>
        <v>6.1854136070300099</v>
      </c>
      <c r="L344" s="337">
        <f t="shared" si="184"/>
        <v>1.4084129604897158</v>
      </c>
      <c r="M344" s="325">
        <f t="shared" si="164"/>
        <v>1.0276889439844714</v>
      </c>
      <c r="N344" s="337">
        <f t="shared" si="165"/>
        <v>0.23265763093120398</v>
      </c>
      <c r="O344" s="343">
        <f t="shared" si="166"/>
        <v>1.0114822782168649</v>
      </c>
      <c r="P344" s="691">
        <f t="shared" si="167"/>
        <v>0.15082092133309549</v>
      </c>
      <c r="Q344" s="336">
        <f t="shared" si="182"/>
        <v>4.2884348556822829</v>
      </c>
      <c r="R344" s="692">
        <f t="shared" si="168"/>
        <v>0.24966259078449107</v>
      </c>
      <c r="S344" s="329">
        <f t="shared" si="169"/>
        <v>0.99495244064922028</v>
      </c>
      <c r="T344" s="330">
        <f t="shared" si="170"/>
        <v>0.15269666017051686</v>
      </c>
      <c r="U344" s="331">
        <f t="shared" si="171"/>
        <v>3.7981884273066591</v>
      </c>
      <c r="V344" s="332">
        <f t="shared" si="172"/>
        <v>-122.25053263742636</v>
      </c>
      <c r="W344" s="334">
        <f t="shared" si="173"/>
        <v>57.74946736257364</v>
      </c>
      <c r="Y344" s="307">
        <f t="shared" si="174"/>
        <v>1000000000</v>
      </c>
      <c r="Z344" s="307">
        <f t="shared" si="175"/>
        <v>683992485.5625</v>
      </c>
      <c r="AB344" s="333">
        <f t="shared" si="176"/>
        <v>34.57723256680211</v>
      </c>
      <c r="AC344" s="334">
        <f t="shared" si="177"/>
        <v>-22.627542698637949</v>
      </c>
      <c r="AE344" s="333">
        <f t="shared" si="178"/>
        <v>-6.191033529798653</v>
      </c>
      <c r="AF344" s="334">
        <f t="shared" si="179"/>
        <v>-93.959779432725114</v>
      </c>
      <c r="AH344">
        <f t="shared" si="180"/>
        <v>0</v>
      </c>
      <c r="AI344">
        <f t="shared" si="155"/>
        <v>0</v>
      </c>
    </row>
    <row r="345" spans="1:35" x14ac:dyDescent="0.25">
      <c r="A345" s="335">
        <v>26303</v>
      </c>
      <c r="B345" s="352">
        <f t="shared" si="181"/>
        <v>26.303000000000001</v>
      </c>
      <c r="C345" s="325">
        <f t="shared" si="156"/>
        <v>56.033437996511807</v>
      </c>
      <c r="D345" s="326">
        <f t="shared" si="157"/>
        <v>1.5529488927231372</v>
      </c>
      <c r="E345" s="326">
        <f t="shared" si="158"/>
        <v>1.0021826625249464</v>
      </c>
      <c r="F345" s="327">
        <f t="shared" si="159"/>
        <v>6.6010603574656282E-2</v>
      </c>
      <c r="G345" s="326">
        <f t="shared" si="160"/>
        <v>1</v>
      </c>
      <c r="H345" s="327">
        <f t="shared" si="161"/>
        <v>0</v>
      </c>
      <c r="I345" s="325">
        <f t="shared" si="162"/>
        <v>8679.3314237849045</v>
      </c>
      <c r="J345" s="328">
        <f t="shared" si="163"/>
        <v>1.5706811105468488</v>
      </c>
      <c r="K345" s="336">
        <f t="shared" si="183"/>
        <v>6.2199073173746537</v>
      </c>
      <c r="L345" s="337">
        <f t="shared" si="184"/>
        <v>1.4093214212103287</v>
      </c>
      <c r="M345" s="325">
        <f t="shared" si="164"/>
        <v>1.0280026064241434</v>
      </c>
      <c r="N345" s="337">
        <f t="shared" si="165"/>
        <v>0.23394185039536222</v>
      </c>
      <c r="O345" s="343">
        <f t="shared" si="166"/>
        <v>1.0116133896598571</v>
      </c>
      <c r="P345" s="691">
        <f t="shared" si="167"/>
        <v>0.15167135512640972</v>
      </c>
      <c r="Q345" s="336">
        <f t="shared" si="182"/>
        <v>4.2899257675065883</v>
      </c>
      <c r="R345" s="692">
        <f t="shared" si="168"/>
        <v>0.25103370321862656</v>
      </c>
      <c r="S345" s="329">
        <f t="shared" si="169"/>
        <v>0.99489593656763331</v>
      </c>
      <c r="T345" s="330">
        <f t="shared" si="170"/>
        <v>0.15358669143662446</v>
      </c>
      <c r="U345" s="331">
        <f t="shared" si="171"/>
        <v>3.7434867242647076</v>
      </c>
      <c r="V345" s="332">
        <f t="shared" si="172"/>
        <v>-122.33731076295227</v>
      </c>
      <c r="W345" s="334">
        <f t="shared" si="173"/>
        <v>57.662689237047729</v>
      </c>
      <c r="Y345" s="307">
        <f t="shared" si="174"/>
        <v>1000000000</v>
      </c>
      <c r="Z345" s="307">
        <f t="shared" si="175"/>
        <v>691847809</v>
      </c>
      <c r="AB345" s="333">
        <f t="shared" si="176"/>
        <v>34.573292903728927</v>
      </c>
      <c r="AC345" s="334">
        <f t="shared" si="177"/>
        <v>-22.649109887540266</v>
      </c>
      <c r="AE345" s="333">
        <f t="shared" si="178"/>
        <v>-6.2399021879422989</v>
      </c>
      <c r="AF345" s="334">
        <f t="shared" si="179"/>
        <v>-93.995157680712964</v>
      </c>
      <c r="AH345">
        <f t="shared" si="180"/>
        <v>0</v>
      </c>
      <c r="AI345">
        <f t="shared" si="155"/>
        <v>0</v>
      </c>
    </row>
    <row r="346" spans="1:35" x14ac:dyDescent="0.25">
      <c r="A346" s="335">
        <v>26456</v>
      </c>
      <c r="B346" s="352">
        <f t="shared" si="181"/>
        <v>26.456</v>
      </c>
      <c r="C346" s="325">
        <f t="shared" si="156"/>
        <v>56.35927130047142</v>
      </c>
      <c r="D346" s="326">
        <f t="shared" si="157"/>
        <v>1.5530520860480161</v>
      </c>
      <c r="E346" s="326">
        <f t="shared" si="158"/>
        <v>1.0022081006625221</v>
      </c>
      <c r="F346" s="327">
        <f t="shared" si="159"/>
        <v>6.6393451683874324E-2</v>
      </c>
      <c r="G346" s="326">
        <f t="shared" si="160"/>
        <v>1</v>
      </c>
      <c r="H346" s="327">
        <f t="shared" si="161"/>
        <v>0</v>
      </c>
      <c r="I346" s="325">
        <f t="shared" si="162"/>
        <v>8729.8175922927549</v>
      </c>
      <c r="J346" s="328">
        <f t="shared" si="163"/>
        <v>1.5706817768639714</v>
      </c>
      <c r="K346" s="336">
        <f t="shared" si="183"/>
        <v>6.2551548816356046</v>
      </c>
      <c r="L346" s="337">
        <f t="shared" si="184"/>
        <v>1.4102392494864415</v>
      </c>
      <c r="M346" s="325">
        <f t="shared" si="164"/>
        <v>1.0283248261413558</v>
      </c>
      <c r="N346" s="337">
        <f t="shared" si="165"/>
        <v>0.23525312972834189</v>
      </c>
      <c r="O346" s="343">
        <f t="shared" si="166"/>
        <v>1.0117481020220478</v>
      </c>
      <c r="P346" s="691">
        <f t="shared" si="167"/>
        <v>0.15254001746132212</v>
      </c>
      <c r="Q346" s="336">
        <f t="shared" si="182"/>
        <v>4.2914572882926914</v>
      </c>
      <c r="R346" s="692">
        <f t="shared" si="168"/>
        <v>0.2524335903566029</v>
      </c>
      <c r="S346" s="329">
        <f t="shared" si="169"/>
        <v>0.99483790782558312</v>
      </c>
      <c r="T346" s="330">
        <f t="shared" si="170"/>
        <v>0.15449631672852995</v>
      </c>
      <c r="U346" s="331">
        <f t="shared" si="171"/>
        <v>3.6878911273243613</v>
      </c>
      <c r="V346" s="332">
        <f t="shared" si="172"/>
        <v>-122.42642361570601</v>
      </c>
      <c r="W346" s="334">
        <f t="shared" si="173"/>
        <v>57.573576384293986</v>
      </c>
      <c r="Y346" s="307">
        <f t="shared" si="174"/>
        <v>1000000000</v>
      </c>
      <c r="Z346" s="307">
        <f t="shared" si="175"/>
        <v>699919936</v>
      </c>
      <c r="AB346" s="333">
        <f t="shared" si="176"/>
        <v>34.569275949798005</v>
      </c>
      <c r="AC346" s="334">
        <f t="shared" si="177"/>
        <v>-22.671691149728442</v>
      </c>
      <c r="AE346" s="333">
        <f t="shared" si="178"/>
        <v>-6.2895370736489964</v>
      </c>
      <c r="AF346" s="334">
        <f t="shared" si="179"/>
        <v>-94.031252332055502</v>
      </c>
      <c r="AH346">
        <f t="shared" si="180"/>
        <v>0</v>
      </c>
      <c r="AI346">
        <f t="shared" ref="AI346:AI409" si="185">IF(AH346&gt;0,W346,0)</f>
        <v>0</v>
      </c>
    </row>
    <row r="347" spans="1:35" x14ac:dyDescent="0.25">
      <c r="A347" s="335">
        <v>26609</v>
      </c>
      <c r="B347" s="352">
        <f t="shared" si="181"/>
        <v>26.609000000000002</v>
      </c>
      <c r="C347" s="325">
        <f t="shared" si="156"/>
        <v>56.685105197693524</v>
      </c>
      <c r="D347" s="326">
        <f t="shared" si="157"/>
        <v>1.5531540930346992</v>
      </c>
      <c r="E347" s="326">
        <f t="shared" si="158"/>
        <v>1.0022336856889502</v>
      </c>
      <c r="F347" s="327">
        <f t="shared" si="159"/>
        <v>6.6776280302505403E-2</v>
      </c>
      <c r="G347" s="326">
        <f t="shared" si="160"/>
        <v>1</v>
      </c>
      <c r="H347" s="327">
        <f t="shared" si="161"/>
        <v>0</v>
      </c>
      <c r="I347" s="325">
        <f t="shared" si="162"/>
        <v>8780.303760804436</v>
      </c>
      <c r="J347" s="328">
        <f t="shared" si="163"/>
        <v>1.5706824355185349</v>
      </c>
      <c r="K347" s="336">
        <f t="shared" si="183"/>
        <v>6.2904076562382496</v>
      </c>
      <c r="L347" s="337">
        <f t="shared" si="184"/>
        <v>1.4111467911124858</v>
      </c>
      <c r="M347" s="325">
        <f t="shared" si="164"/>
        <v>1.0286488129057709</v>
      </c>
      <c r="N347" s="337">
        <f t="shared" si="165"/>
        <v>0.236563585303321</v>
      </c>
      <c r="O347" s="343">
        <f t="shared" si="166"/>
        <v>1.0118835776196962</v>
      </c>
      <c r="P347" s="691">
        <f t="shared" si="167"/>
        <v>0.1534084478504176</v>
      </c>
      <c r="Q347" s="336">
        <f t="shared" si="182"/>
        <v>4.292997140743938</v>
      </c>
      <c r="R347" s="692">
        <f t="shared" si="168"/>
        <v>0.25383248030255101</v>
      </c>
      <c r="S347" s="329">
        <f t="shared" si="169"/>
        <v>0.99477957813522133</v>
      </c>
      <c r="T347" s="330">
        <f t="shared" si="170"/>
        <v>0.15540622444091426</v>
      </c>
      <c r="U347" s="331">
        <f t="shared" si="171"/>
        <v>3.6325881612721993</v>
      </c>
      <c r="V347" s="332">
        <f t="shared" si="172"/>
        <v>-122.51598369388536</v>
      </c>
      <c r="W347" s="334">
        <f t="shared" si="173"/>
        <v>57.48401630611464</v>
      </c>
      <c r="Y347" s="307">
        <f t="shared" si="174"/>
        <v>1000000000</v>
      </c>
      <c r="Z347" s="307">
        <f t="shared" si="175"/>
        <v>708038881</v>
      </c>
      <c r="AB347" s="333">
        <f t="shared" si="176"/>
        <v>34.565266823184537</v>
      </c>
      <c r="AC347" s="334">
        <f t="shared" si="177"/>
        <v>-22.694814156662424</v>
      </c>
      <c r="AE347" s="333">
        <f t="shared" si="178"/>
        <v>-6.3388778023474543</v>
      </c>
      <c r="AF347" s="334">
        <f t="shared" si="179"/>
        <v>-94.067296309456097</v>
      </c>
      <c r="AH347">
        <f t="shared" si="180"/>
        <v>0</v>
      </c>
      <c r="AI347">
        <f t="shared" si="185"/>
        <v>0</v>
      </c>
    </row>
    <row r="348" spans="1:35" x14ac:dyDescent="0.25">
      <c r="A348" s="335">
        <v>26762</v>
      </c>
      <c r="B348" s="352">
        <f t="shared" si="181"/>
        <v>26.762</v>
      </c>
      <c r="C348" s="325">
        <f t="shared" si="156"/>
        <v>57.010939678006125</v>
      </c>
      <c r="D348" s="326">
        <f t="shared" si="157"/>
        <v>1.553254934021872</v>
      </c>
      <c r="E348" s="326">
        <f t="shared" si="158"/>
        <v>1.002259417592982</v>
      </c>
      <c r="F348" s="327">
        <f t="shared" si="159"/>
        <v>6.7159089319833443E-2</v>
      </c>
      <c r="G348" s="326">
        <f t="shared" si="160"/>
        <v>1</v>
      </c>
      <c r="H348" s="327">
        <f t="shared" si="161"/>
        <v>0</v>
      </c>
      <c r="I348" s="325">
        <f t="shared" si="162"/>
        <v>8830.7899293198825</v>
      </c>
      <c r="J348" s="328">
        <f t="shared" si="163"/>
        <v>1.5706830866419612</v>
      </c>
      <c r="K348" s="336">
        <f t="shared" si="183"/>
        <v>6.3256655540712821</v>
      </c>
      <c r="L348" s="337">
        <f t="shared" si="184"/>
        <v>1.4120442165875817</v>
      </c>
      <c r="M348" s="325">
        <f t="shared" si="164"/>
        <v>1.0289745650482516</v>
      </c>
      <c r="N348" s="337">
        <f t="shared" si="165"/>
        <v>0.23787321339967366</v>
      </c>
      <c r="O348" s="343">
        <f t="shared" si="166"/>
        <v>1.012019816146287</v>
      </c>
      <c r="P348" s="691">
        <f t="shared" si="167"/>
        <v>0.15427664507721903</v>
      </c>
      <c r="Q348" s="336">
        <f t="shared" si="182"/>
        <v>4.2945453158987954</v>
      </c>
      <c r="R348" s="692">
        <f t="shared" si="168"/>
        <v>0.25523036872772198</v>
      </c>
      <c r="S348" s="329">
        <f t="shared" si="169"/>
        <v>0.99472094812080736</v>
      </c>
      <c r="T348" s="330">
        <f t="shared" si="170"/>
        <v>0.15631641620187825</v>
      </c>
      <c r="U348" s="331">
        <f t="shared" si="171"/>
        <v>3.5775740649855789</v>
      </c>
      <c r="V348" s="332">
        <f t="shared" si="172"/>
        <v>-122.60598210959175</v>
      </c>
      <c r="W348" s="334">
        <f t="shared" si="173"/>
        <v>57.39401789040825</v>
      </c>
      <c r="Y348" s="307">
        <f t="shared" si="174"/>
        <v>1000000000</v>
      </c>
      <c r="Z348" s="307">
        <f t="shared" si="175"/>
        <v>716204644</v>
      </c>
      <c r="AB348" s="333">
        <f t="shared" si="176"/>
        <v>34.561265062682544</v>
      </c>
      <c r="AC348" s="334">
        <f t="shared" si="177"/>
        <v>-22.718468933815963</v>
      </c>
      <c r="AE348" s="333">
        <f t="shared" si="178"/>
        <v>-6.3879277042024194</v>
      </c>
      <c r="AF348" s="334">
        <f t="shared" si="179"/>
        <v>-94.103290877862534</v>
      </c>
      <c r="AH348">
        <f t="shared" si="180"/>
        <v>0</v>
      </c>
      <c r="AI348">
        <f t="shared" si="185"/>
        <v>0</v>
      </c>
    </row>
    <row r="349" spans="1:35" x14ac:dyDescent="0.25">
      <c r="A349" s="335">
        <v>26915</v>
      </c>
      <c r="B349" s="352">
        <f t="shared" si="181"/>
        <v>26.914999999999999</v>
      </c>
      <c r="C349" s="325">
        <f t="shared" si="156"/>
        <v>57.336774731468438</v>
      </c>
      <c r="D349" s="326">
        <f t="shared" si="157"/>
        <v>1.5533546288859916</v>
      </c>
      <c r="E349" s="326">
        <f t="shared" si="158"/>
        <v>1.0022852963633044</v>
      </c>
      <c r="F349" s="327">
        <f t="shared" si="159"/>
        <v>6.7541878625176716E-2</v>
      </c>
      <c r="G349" s="326">
        <f t="shared" si="160"/>
        <v>1</v>
      </c>
      <c r="H349" s="327">
        <f t="shared" si="161"/>
        <v>0</v>
      </c>
      <c r="I349" s="325">
        <f t="shared" si="162"/>
        <v>8881.2760978390306</v>
      </c>
      <c r="J349" s="328">
        <f t="shared" si="163"/>
        <v>1.5706837303626839</v>
      </c>
      <c r="K349" s="336">
        <f t="shared" si="183"/>
        <v>6.360928489942264</v>
      </c>
      <c r="L349" s="337">
        <f t="shared" si="184"/>
        <v>1.412931692696088</v>
      </c>
      <c r="M349" s="325">
        <f t="shared" si="164"/>
        <v>1.0293020808926843</v>
      </c>
      <c r="N349" s="337">
        <f t="shared" si="165"/>
        <v>0.23918201031282491</v>
      </c>
      <c r="O349" s="343">
        <f t="shared" si="166"/>
        <v>1.0121568172937447</v>
      </c>
      <c r="P349" s="691">
        <f t="shared" si="167"/>
        <v>0.15514460792730847</v>
      </c>
      <c r="Q349" s="336">
        <f t="shared" si="182"/>
        <v>4.2961018047602479</v>
      </c>
      <c r="R349" s="692">
        <f t="shared" si="168"/>
        <v>0.25662725132511111</v>
      </c>
      <c r="S349" s="329">
        <f t="shared" si="169"/>
        <v>0.99466201841038115</v>
      </c>
      <c r="T349" s="330">
        <f t="shared" si="170"/>
        <v>0.15722689363936312</v>
      </c>
      <c r="U349" s="331">
        <f t="shared" si="171"/>
        <v>3.5228451478094467</v>
      </c>
      <c r="V349" s="332">
        <f t="shared" si="172"/>
        <v>-122.69641016314836</v>
      </c>
      <c r="W349" s="334">
        <f t="shared" si="173"/>
        <v>57.303589836851643</v>
      </c>
      <c r="Y349" s="307">
        <f t="shared" si="174"/>
        <v>1000000000</v>
      </c>
      <c r="Z349" s="307">
        <f t="shared" si="175"/>
        <v>724417225</v>
      </c>
      <c r="AB349" s="333">
        <f t="shared" si="176"/>
        <v>34.557270220698335</v>
      </c>
      <c r="AC349" s="334">
        <f t="shared" si="177"/>
        <v>-22.742645720251392</v>
      </c>
      <c r="AE349" s="333">
        <f t="shared" si="178"/>
        <v>-6.4366900526162834</v>
      </c>
      <c r="AF349" s="334">
        <f t="shared" si="179"/>
        <v>-94.139237275727652</v>
      </c>
      <c r="AH349">
        <f t="shared" si="180"/>
        <v>0</v>
      </c>
      <c r="AI349">
        <f t="shared" si="185"/>
        <v>0</v>
      </c>
    </row>
    <row r="350" spans="1:35" x14ac:dyDescent="0.25">
      <c r="A350" s="335">
        <v>27071.75</v>
      </c>
      <c r="B350" s="352">
        <f t="shared" si="181"/>
        <v>27.071750000000002</v>
      </c>
      <c r="C350" s="325">
        <f t="shared" si="156"/>
        <v>57.670596522438274</v>
      </c>
      <c r="D350" s="326">
        <f t="shared" si="157"/>
        <v>1.5534555989566448</v>
      </c>
      <c r="E350" s="326">
        <f t="shared" si="158"/>
        <v>1.0023119617152196</v>
      </c>
      <c r="F350" s="327">
        <f t="shared" si="159"/>
        <v>6.7934029463040682E-2</v>
      </c>
      <c r="G350" s="326">
        <f t="shared" si="160"/>
        <v>1</v>
      </c>
      <c r="H350" s="327">
        <f t="shared" si="161"/>
        <v>0</v>
      </c>
      <c r="I350" s="325">
        <f t="shared" si="162"/>
        <v>8932.9996724531065</v>
      </c>
      <c r="J350" s="328">
        <f t="shared" si="163"/>
        <v>1.5706843823150181</v>
      </c>
      <c r="K350" s="336">
        <f t="shared" si="183"/>
        <v>6.3970608511217755</v>
      </c>
      <c r="L350" s="337">
        <f t="shared" si="184"/>
        <v>1.4138307731064657</v>
      </c>
      <c r="M350" s="325">
        <f t="shared" si="164"/>
        <v>1.029639451400199</v>
      </c>
      <c r="N350" s="337">
        <f t="shared" si="165"/>
        <v>0.24052201973427872</v>
      </c>
      <c r="O350" s="343">
        <f t="shared" si="166"/>
        <v>1.0122979668761842</v>
      </c>
      <c r="P350" s="691">
        <f t="shared" si="167"/>
        <v>0.15603360004521907</v>
      </c>
      <c r="Q350" s="336">
        <f t="shared" si="182"/>
        <v>4.2977050552694287</v>
      </c>
      <c r="R350" s="692">
        <f t="shared" si="168"/>
        <v>0.25805732365198775</v>
      </c>
      <c r="S350" s="329">
        <f t="shared" si="169"/>
        <v>0.99460133420065944</v>
      </c>
      <c r="T350" s="330">
        <f t="shared" si="170"/>
        <v>0.15815998466736028</v>
      </c>
      <c r="U350" s="331">
        <f t="shared" si="171"/>
        <v>3.4670667984771493</v>
      </c>
      <c r="V350" s="332">
        <f t="shared" si="172"/>
        <v>-122.78949124989245</v>
      </c>
      <c r="W350" s="334">
        <f t="shared" si="173"/>
        <v>57.21050875010755</v>
      </c>
      <c r="Y350" s="307">
        <f t="shared" si="174"/>
        <v>1000000000</v>
      </c>
      <c r="Z350" s="307">
        <f t="shared" si="175"/>
        <v>732879648.0625</v>
      </c>
      <c r="AB350" s="333">
        <f t="shared" si="176"/>
        <v>34.553184186746726</v>
      </c>
      <c r="AC350" s="334">
        <f t="shared" si="177"/>
        <v>-22.76794644579704</v>
      </c>
      <c r="AE350" s="333">
        <f t="shared" si="178"/>
        <v>-6.486352709112956</v>
      </c>
      <c r="AF350" s="334">
        <f t="shared" si="179"/>
        <v>-94.176016024538882</v>
      </c>
      <c r="AH350">
        <f t="shared" si="180"/>
        <v>0</v>
      </c>
      <c r="AI350">
        <f t="shared" si="185"/>
        <v>0</v>
      </c>
    </row>
    <row r="351" spans="1:35" x14ac:dyDescent="0.25">
      <c r="A351" s="335">
        <v>27228.5</v>
      </c>
      <c r="B351" s="352">
        <f t="shared" si="181"/>
        <v>27.2285</v>
      </c>
      <c r="C351" s="325">
        <f t="shared" si="156"/>
        <v>58.004418894589811</v>
      </c>
      <c r="D351" s="326">
        <f t="shared" si="157"/>
        <v>1.5535554068386264</v>
      </c>
      <c r="E351" s="326">
        <f t="shared" si="158"/>
        <v>1.0023387811967384</v>
      </c>
      <c r="F351" s="327">
        <f t="shared" si="159"/>
        <v>6.8326159375720757E-2</v>
      </c>
      <c r="G351" s="326">
        <f t="shared" si="160"/>
        <v>1</v>
      </c>
      <c r="H351" s="327">
        <f t="shared" si="161"/>
        <v>0</v>
      </c>
      <c r="I351" s="325">
        <f t="shared" si="162"/>
        <v>8984.7232470709368</v>
      </c>
      <c r="J351" s="328">
        <f t="shared" si="163"/>
        <v>1.5706850267609873</v>
      </c>
      <c r="K351" s="336">
        <f t="shared" si="183"/>
        <v>6.433198325248024</v>
      </c>
      <c r="L351" s="337">
        <f t="shared" si="184"/>
        <v>1.4147197533447184</v>
      </c>
      <c r="M351" s="325">
        <f t="shared" si="164"/>
        <v>1.0299786695411921</v>
      </c>
      <c r="N351" s="337">
        <f t="shared" si="165"/>
        <v>0.24186114890866298</v>
      </c>
      <c r="O351" s="343">
        <f t="shared" si="166"/>
        <v>1.0124399162613382</v>
      </c>
      <c r="P351" s="691">
        <f t="shared" si="167"/>
        <v>0.15692234358263318</v>
      </c>
      <c r="Q351" s="336">
        <f t="shared" si="182"/>
        <v>4.2993170127826295</v>
      </c>
      <c r="R351" s="692">
        <f t="shared" si="168"/>
        <v>0.25948633115948511</v>
      </c>
      <c r="S351" s="329">
        <f t="shared" si="169"/>
        <v>0.9945403367706479</v>
      </c>
      <c r="T351" s="330">
        <f t="shared" si="170"/>
        <v>0.15909337900603815</v>
      </c>
      <c r="U351" s="331">
        <f t="shared" si="171"/>
        <v>3.4115801557443319</v>
      </c>
      <c r="V351" s="332">
        <f t="shared" si="172"/>
        <v>-122.88300539114479</v>
      </c>
      <c r="W351" s="334">
        <f t="shared" si="173"/>
        <v>57.116994608855208</v>
      </c>
      <c r="Y351" s="307">
        <f t="shared" si="174"/>
        <v>1000000000</v>
      </c>
      <c r="Z351" s="307">
        <f t="shared" si="175"/>
        <v>741391212.25</v>
      </c>
      <c r="AB351" s="333">
        <f t="shared" si="176"/>
        <v>34.5491045053883</v>
      </c>
      <c r="AC351" s="334">
        <f t="shared" si="177"/>
        <v>-22.793775004053355</v>
      </c>
      <c r="AE351" s="333">
        <f t="shared" si="178"/>
        <v>-6.5357203224084106</v>
      </c>
      <c r="AF351" s="334">
        <f t="shared" si="179"/>
        <v>-94.21274676219079</v>
      </c>
      <c r="AH351">
        <f t="shared" si="180"/>
        <v>0</v>
      </c>
      <c r="AI351">
        <f t="shared" si="185"/>
        <v>0</v>
      </c>
    </row>
    <row r="352" spans="1:35" x14ac:dyDescent="0.25">
      <c r="A352" s="335">
        <v>27385.25</v>
      </c>
      <c r="B352" s="352">
        <f t="shared" si="181"/>
        <v>27.385249999999999</v>
      </c>
      <c r="C352" s="325">
        <f t="shared" si="156"/>
        <v>58.338241837946185</v>
      </c>
      <c r="D352" s="326">
        <f t="shared" si="157"/>
        <v>1.5536540724807497</v>
      </c>
      <c r="E352" s="326">
        <f t="shared" si="158"/>
        <v>1.0023657547954885</v>
      </c>
      <c r="F352" s="327">
        <f t="shared" si="159"/>
        <v>6.8718268244309058E-2</v>
      </c>
      <c r="G352" s="326">
        <f t="shared" si="160"/>
        <v>1</v>
      </c>
      <c r="H352" s="327">
        <f t="shared" si="161"/>
        <v>0</v>
      </c>
      <c r="I352" s="325">
        <f t="shared" si="162"/>
        <v>9036.4468216924543</v>
      </c>
      <c r="J352" s="328">
        <f t="shared" si="163"/>
        <v>1.5706856638294886</v>
      </c>
      <c r="K352" s="336">
        <f t="shared" si="183"/>
        <v>6.4693408266388728</v>
      </c>
      <c r="L352" s="337">
        <f t="shared" si="184"/>
        <v>1.4155988012748393</v>
      </c>
      <c r="M352" s="325">
        <f t="shared" si="164"/>
        <v>1.0303197334907417</v>
      </c>
      <c r="N352" s="337">
        <f t="shared" si="165"/>
        <v>0.24319939390495315</v>
      </c>
      <c r="O352" s="343">
        <f t="shared" si="166"/>
        <v>1.0125826651128442</v>
      </c>
      <c r="P352" s="691">
        <f t="shared" si="167"/>
        <v>0.1578108372404145</v>
      </c>
      <c r="Q352" s="336">
        <f t="shared" si="182"/>
        <v>4.3009376675106461</v>
      </c>
      <c r="R352" s="692">
        <f t="shared" si="168"/>
        <v>0.26091426928737482</v>
      </c>
      <c r="S352" s="329">
        <f t="shared" si="169"/>
        <v>0.99447902680807077</v>
      </c>
      <c r="T352" s="330">
        <f t="shared" si="170"/>
        <v>0.16002707840545621</v>
      </c>
      <c r="U352" s="331">
        <f t="shared" si="171"/>
        <v>3.3563814698061032</v>
      </c>
      <c r="V352" s="332">
        <f t="shared" si="172"/>
        <v>-122.97694381438113</v>
      </c>
      <c r="W352" s="334">
        <f t="shared" si="173"/>
        <v>57.02305618561887</v>
      </c>
      <c r="Y352" s="307">
        <f t="shared" si="174"/>
        <v>1000000000</v>
      </c>
      <c r="Z352" s="307">
        <f t="shared" si="175"/>
        <v>749951917.5625</v>
      </c>
      <c r="AB352" s="333">
        <f t="shared" si="176"/>
        <v>34.545030736897438</v>
      </c>
      <c r="AC352" s="334">
        <f t="shared" si="177"/>
        <v>-22.820121559276124</v>
      </c>
      <c r="AE352" s="333">
        <f t="shared" si="178"/>
        <v>-6.5847962355049354</v>
      </c>
      <c r="AF352" s="334">
        <f t="shared" si="179"/>
        <v>-94.249430738750107</v>
      </c>
      <c r="AH352">
        <f t="shared" si="180"/>
        <v>0</v>
      </c>
      <c r="AI352">
        <f t="shared" si="185"/>
        <v>0</v>
      </c>
    </row>
    <row r="353" spans="1:35" x14ac:dyDescent="0.25">
      <c r="A353" s="335">
        <v>27542</v>
      </c>
      <c r="B353" s="352">
        <f t="shared" si="181"/>
        <v>27.542000000000002</v>
      </c>
      <c r="C353" s="325">
        <f t="shared" si="156"/>
        <v>58.672065342757541</v>
      </c>
      <c r="D353" s="326">
        <f t="shared" si="157"/>
        <v>1.5537516153779118</v>
      </c>
      <c r="E353" s="326">
        <f t="shared" si="158"/>
        <v>1.0023928824990289</v>
      </c>
      <c r="F353" s="327">
        <f t="shared" si="159"/>
        <v>6.9110355949936308E-2</v>
      </c>
      <c r="G353" s="326">
        <f t="shared" si="160"/>
        <v>1</v>
      </c>
      <c r="H353" s="327">
        <f t="shared" si="161"/>
        <v>0</v>
      </c>
      <c r="I353" s="325">
        <f t="shared" si="162"/>
        <v>9088.1703963175987</v>
      </c>
      <c r="J353" s="328">
        <f t="shared" si="163"/>
        <v>1.5706862936464838</v>
      </c>
      <c r="K353" s="336">
        <f t="shared" si="183"/>
        <v>6.5054882715044915</v>
      </c>
      <c r="L353" s="337">
        <f t="shared" si="184"/>
        <v>1.4164680810920887</v>
      </c>
      <c r="M353" s="325">
        <f t="shared" si="164"/>
        <v>1.0306626414164193</v>
      </c>
      <c r="N353" s="337">
        <f t="shared" si="165"/>
        <v>0.24453675080998169</v>
      </c>
      <c r="O353" s="343">
        <f t="shared" si="166"/>
        <v>1.012726213092636</v>
      </c>
      <c r="P353" s="691">
        <f t="shared" si="167"/>
        <v>0.15869907972173522</v>
      </c>
      <c r="Q353" s="336">
        <f t="shared" si="182"/>
        <v>4.3025670096262401</v>
      </c>
      <c r="R353" s="692">
        <f t="shared" si="168"/>
        <v>0.26234113349957366</v>
      </c>
      <c r="S353" s="329">
        <f t="shared" si="169"/>
        <v>0.99441740500483</v>
      </c>
      <c r="T353" s="330">
        <f t="shared" si="170"/>
        <v>0.16096108461548467</v>
      </c>
      <c r="U353" s="331">
        <f t="shared" si="171"/>
        <v>3.3014670611190922</v>
      </c>
      <c r="V353" s="332">
        <f t="shared" si="172"/>
        <v>-123.0712979333656</v>
      </c>
      <c r="W353" s="334">
        <f t="shared" si="173"/>
        <v>56.928702066634401</v>
      </c>
      <c r="Y353" s="307">
        <f t="shared" si="174"/>
        <v>1000000000</v>
      </c>
      <c r="Z353" s="307">
        <f t="shared" si="175"/>
        <v>758561764</v>
      </c>
      <c r="AB353" s="333">
        <f t="shared" si="176"/>
        <v>34.540962454672751</v>
      </c>
      <c r="AC353" s="334">
        <f t="shared" si="177"/>
        <v>-22.846976486779027</v>
      </c>
      <c r="AE353" s="333">
        <f t="shared" si="178"/>
        <v>-6.6335837343648185</v>
      </c>
      <c r="AF353" s="334">
        <f t="shared" si="179"/>
        <v>-94.286069178263062</v>
      </c>
      <c r="AH353">
        <f t="shared" si="180"/>
        <v>0</v>
      </c>
      <c r="AI353">
        <f t="shared" si="185"/>
        <v>0</v>
      </c>
    </row>
    <row r="354" spans="1:35" x14ac:dyDescent="0.25">
      <c r="A354" s="335">
        <v>27702.5</v>
      </c>
      <c r="B354" s="352">
        <f t="shared" si="181"/>
        <v>27.702500000000001</v>
      </c>
      <c r="C354" s="325">
        <f t="shared" si="156"/>
        <v>59.013875627630206</v>
      </c>
      <c r="D354" s="326">
        <f t="shared" si="157"/>
        <v>1.55385034837883</v>
      </c>
      <c r="E354" s="326">
        <f t="shared" si="158"/>
        <v>1.0024208188565908</v>
      </c>
      <c r="F354" s="327">
        <f t="shared" si="159"/>
        <v>6.9511801691651096E-2</v>
      </c>
      <c r="G354" s="326">
        <f t="shared" si="160"/>
        <v>1</v>
      </c>
      <c r="H354" s="327">
        <f t="shared" si="161"/>
        <v>0</v>
      </c>
      <c r="I354" s="325">
        <f t="shared" si="162"/>
        <v>9141.1313770379475</v>
      </c>
      <c r="J354" s="328">
        <f t="shared" si="163"/>
        <v>1.5706869311456331</v>
      </c>
      <c r="K354" s="336">
        <f t="shared" si="183"/>
        <v>6.5425055244859616</v>
      </c>
      <c r="L354" s="337">
        <f t="shared" si="184"/>
        <v>1.4173482033794966</v>
      </c>
      <c r="M354" s="325">
        <f t="shared" si="164"/>
        <v>1.0310156616344983</v>
      </c>
      <c r="N354" s="337">
        <f t="shared" si="165"/>
        <v>0.24590517761639469</v>
      </c>
      <c r="O354" s="343">
        <f t="shared" si="166"/>
        <v>1.0128740229135704</v>
      </c>
      <c r="P354" s="691">
        <f t="shared" si="167"/>
        <v>0.15960831040931989</v>
      </c>
      <c r="Q354" s="336">
        <f t="shared" si="182"/>
        <v>4.3042443225366798</v>
      </c>
      <c r="R354" s="692">
        <f t="shared" si="168"/>
        <v>0.26380101574636372</v>
      </c>
      <c r="S354" s="329">
        <f t="shared" si="169"/>
        <v>0.99435398660245444</v>
      </c>
      <c r="T354" s="330">
        <f t="shared" si="170"/>
        <v>0.16191775520746682</v>
      </c>
      <c r="U354" s="331">
        <f t="shared" si="171"/>
        <v>3.2455296994963949</v>
      </c>
      <c r="V354" s="332">
        <f t="shared" si="172"/>
        <v>-123.16833128272046</v>
      </c>
      <c r="W354" s="334">
        <f t="shared" si="173"/>
        <v>56.831668717279541</v>
      </c>
      <c r="Y354" s="307">
        <f t="shared" si="174"/>
        <v>1000000000</v>
      </c>
      <c r="Z354" s="307">
        <f t="shared" si="175"/>
        <v>767428506.25</v>
      </c>
      <c r="AB354" s="333">
        <f t="shared" si="176"/>
        <v>34.536802097612664</v>
      </c>
      <c r="AC354" s="334">
        <f t="shared" si="177"/>
        <v>-22.874990800877892</v>
      </c>
      <c r="AE354" s="333">
        <f t="shared" si="178"/>
        <v>-6.6832429251117142</v>
      </c>
      <c r="AF354" s="334">
        <f t="shared" si="179"/>
        <v>-94.32353820315825</v>
      </c>
      <c r="AH354">
        <f t="shared" si="180"/>
        <v>0</v>
      </c>
      <c r="AI354">
        <f t="shared" si="185"/>
        <v>0</v>
      </c>
    </row>
    <row r="355" spans="1:35" x14ac:dyDescent="0.25">
      <c r="A355" s="335">
        <v>27863</v>
      </c>
      <c r="B355" s="352">
        <f t="shared" si="181"/>
        <v>27.863</v>
      </c>
      <c r="C355" s="325">
        <f t="shared" si="156"/>
        <v>59.355686481156567</v>
      </c>
      <c r="D355" s="326">
        <f t="shared" si="157"/>
        <v>1.5539479442356812</v>
      </c>
      <c r="E355" s="326">
        <f t="shared" si="158"/>
        <v>1.0024489167539528</v>
      </c>
      <c r="F355" s="327">
        <f t="shared" si="159"/>
        <v>6.9913224993604736E-2</v>
      </c>
      <c r="G355" s="326">
        <f t="shared" si="160"/>
        <v>1</v>
      </c>
      <c r="H355" s="327">
        <f t="shared" si="161"/>
        <v>0</v>
      </c>
      <c r="I355" s="325">
        <f t="shared" si="162"/>
        <v>9194.0923577619669</v>
      </c>
      <c r="J355" s="328">
        <f t="shared" si="163"/>
        <v>1.5706875613003748</v>
      </c>
      <c r="K355" s="336">
        <f t="shared" si="183"/>
        <v>6.579527788364083</v>
      </c>
      <c r="L355" s="337">
        <f t="shared" si="184"/>
        <v>1.4182184216361633</v>
      </c>
      <c r="M355" s="325">
        <f t="shared" si="164"/>
        <v>1.0313706112004009</v>
      </c>
      <c r="N355" s="337">
        <f t="shared" si="165"/>
        <v>0.247272665084975</v>
      </c>
      <c r="O355" s="343">
        <f t="shared" si="166"/>
        <v>1.0130226698331515</v>
      </c>
      <c r="P355" s="691">
        <f t="shared" si="167"/>
        <v>0.16051727501436927</v>
      </c>
      <c r="Q355" s="336">
        <f t="shared" si="182"/>
        <v>4.3059307224976289</v>
      </c>
      <c r="R355" s="692">
        <f t="shared" si="168"/>
        <v>0.26525976253185279</v>
      </c>
      <c r="S355" s="329">
        <f t="shared" si="169"/>
        <v>0.99429024274193156</v>
      </c>
      <c r="T355" s="330">
        <f t="shared" si="170"/>
        <v>0.16287475117805153</v>
      </c>
      <c r="U355" s="331">
        <f t="shared" si="171"/>
        <v>3.189882790239384</v>
      </c>
      <c r="V355" s="332">
        <f t="shared" si="172"/>
        <v>-123.265782813575</v>
      </c>
      <c r="W355" s="334">
        <f t="shared" si="173"/>
        <v>56.734217186424999</v>
      </c>
      <c r="Y355" s="307">
        <f t="shared" si="174"/>
        <v>1000000000</v>
      </c>
      <c r="Z355" s="307">
        <f t="shared" si="175"/>
        <v>776346769</v>
      </c>
      <c r="AB355" s="333">
        <f t="shared" si="176"/>
        <v>34.53264662757072</v>
      </c>
      <c r="AC355" s="334">
        <f t="shared" si="177"/>
        <v>-22.903518333242079</v>
      </c>
      <c r="AE355" s="333">
        <f t="shared" si="178"/>
        <v>-6.7326065316824319</v>
      </c>
      <c r="AF355" s="334">
        <f t="shared" si="179"/>
        <v>-94.360962003021939</v>
      </c>
      <c r="AH355">
        <f t="shared" si="180"/>
        <v>0</v>
      </c>
      <c r="AI355">
        <f t="shared" si="185"/>
        <v>0</v>
      </c>
    </row>
    <row r="356" spans="1:35" x14ac:dyDescent="0.25">
      <c r="A356" s="335">
        <v>28023.5</v>
      </c>
      <c r="B356" s="352">
        <f t="shared" si="181"/>
        <v>28.023499999999999</v>
      </c>
      <c r="C356" s="325">
        <f t="shared" si="156"/>
        <v>59.697497893568752</v>
      </c>
      <c r="D356" s="326">
        <f t="shared" si="157"/>
        <v>1.5540444224795107</v>
      </c>
      <c r="E356" s="326">
        <f t="shared" si="158"/>
        <v>1.0024771761775317</v>
      </c>
      <c r="F356" s="327">
        <f t="shared" si="159"/>
        <v>7.0314625728318342E-2</v>
      </c>
      <c r="G356" s="326">
        <f t="shared" si="160"/>
        <v>1</v>
      </c>
      <c r="H356" s="327">
        <f t="shared" si="161"/>
        <v>0</v>
      </c>
      <c r="I356" s="325">
        <f t="shared" si="162"/>
        <v>9247.0533384895953</v>
      </c>
      <c r="J356" s="328">
        <f t="shared" si="163"/>
        <v>1.5706881842369007</v>
      </c>
      <c r="K356" s="336">
        <f t="shared" si="183"/>
        <v>6.6165549790249631</v>
      </c>
      <c r="L356" s="337">
        <f t="shared" si="184"/>
        <v>1.419078900806034</v>
      </c>
      <c r="M356" s="325">
        <f t="shared" si="164"/>
        <v>1.0317274881228415</v>
      </c>
      <c r="N356" s="337">
        <f t="shared" si="165"/>
        <v>0.2486392090734019</v>
      </c>
      <c r="O356" s="343">
        <f t="shared" si="166"/>
        <v>1.0131721534829365</v>
      </c>
      <c r="P356" s="691">
        <f t="shared" si="167"/>
        <v>0.16142597215232643</v>
      </c>
      <c r="Q356" s="336">
        <f t="shared" si="182"/>
        <v>4.3076261988373847</v>
      </c>
      <c r="R356" s="692">
        <f t="shared" si="168"/>
        <v>0.26671736906553034</v>
      </c>
      <c r="S356" s="329">
        <f t="shared" si="169"/>
        <v>0.99422617417965897</v>
      </c>
      <c r="T356" s="330">
        <f t="shared" si="170"/>
        <v>0.16383207440508574</v>
      </c>
      <c r="U356" s="331">
        <f t="shared" si="171"/>
        <v>3.1345226012183587</v>
      </c>
      <c r="V356" s="332">
        <f t="shared" si="172"/>
        <v>-123.36364388402652</v>
      </c>
      <c r="W356" s="334">
        <f t="shared" si="173"/>
        <v>56.636356115973484</v>
      </c>
      <c r="Y356" s="307">
        <f t="shared" si="174"/>
        <v>1000000000</v>
      </c>
      <c r="Z356" s="307">
        <f t="shared" si="175"/>
        <v>785316552.25</v>
      </c>
      <c r="AB356" s="333">
        <f t="shared" si="176"/>
        <v>34.528495626606095</v>
      </c>
      <c r="AC356" s="334">
        <f t="shared" si="177"/>
        <v>-22.932549403172416</v>
      </c>
      <c r="AE356" s="333">
        <f t="shared" si="178"/>
        <v>-6.7816779040216399</v>
      </c>
      <c r="AF356" s="334">
        <f t="shared" si="179"/>
        <v>-94.398341811797295</v>
      </c>
      <c r="AH356">
        <f t="shared" si="180"/>
        <v>0</v>
      </c>
      <c r="AI356">
        <f t="shared" si="185"/>
        <v>0</v>
      </c>
    </row>
    <row r="357" spans="1:35" x14ac:dyDescent="0.25">
      <c r="A357" s="335">
        <v>28184</v>
      </c>
      <c r="B357" s="352">
        <f t="shared" si="181"/>
        <v>28.184000000000001</v>
      </c>
      <c r="C357" s="325">
        <f t="shared" si="156"/>
        <v>60.039309855321363</v>
      </c>
      <c r="D357" s="326">
        <f t="shared" si="157"/>
        <v>1.5541398021966759</v>
      </c>
      <c r="E357" s="326">
        <f t="shared" si="158"/>
        <v>1.002505597113668</v>
      </c>
      <c r="F357" s="327">
        <f t="shared" si="159"/>
        <v>7.0716003768356406E-2</v>
      </c>
      <c r="G357" s="326">
        <f t="shared" si="160"/>
        <v>1</v>
      </c>
      <c r="H357" s="327">
        <f t="shared" si="161"/>
        <v>0</v>
      </c>
      <c r="I357" s="325">
        <f t="shared" si="162"/>
        <v>9300.0143192207724</v>
      </c>
      <c r="J357" s="328">
        <f t="shared" si="163"/>
        <v>1.570688800078528</v>
      </c>
      <c r="K357" s="336">
        <f t="shared" si="183"/>
        <v>6.6535870142160096</v>
      </c>
      <c r="L357" s="337">
        <f t="shared" si="184"/>
        <v>1.4199298022193485</v>
      </c>
      <c r="M357" s="325">
        <f t="shared" si="164"/>
        <v>1.0320862904024846</v>
      </c>
      <c r="N357" s="337">
        <f t="shared" si="165"/>
        <v>0.2500048054591637</v>
      </c>
      <c r="O357" s="343">
        <f t="shared" si="166"/>
        <v>1.0133224734926261</v>
      </c>
      <c r="P357" s="691">
        <f t="shared" si="167"/>
        <v>0.16233440044121586</v>
      </c>
      <c r="Q357" s="336">
        <f t="shared" si="182"/>
        <v>4.3093307408436514</v>
      </c>
      <c r="R357" s="692">
        <f t="shared" si="168"/>
        <v>0.26817383058361688</v>
      </c>
      <c r="S357" s="329">
        <f t="shared" si="169"/>
        <v>0.99416178167664138</v>
      </c>
      <c r="T357" s="330">
        <f t="shared" si="170"/>
        <v>0.16478972676619238</v>
      </c>
      <c r="U357" s="331">
        <f t="shared" si="171"/>
        <v>3.0794454702089502</v>
      </c>
      <c r="V357" s="332">
        <f t="shared" si="172"/>
        <v>-123.46190603608207</v>
      </c>
      <c r="W357" s="334">
        <f t="shared" si="173"/>
        <v>56.53809396391793</v>
      </c>
      <c r="Y357" s="307">
        <f t="shared" si="174"/>
        <v>1000000000</v>
      </c>
      <c r="Z357" s="307">
        <f t="shared" si="175"/>
        <v>794337856</v>
      </c>
      <c r="AB357" s="333">
        <f t="shared" si="176"/>
        <v>34.524348689399751</v>
      </c>
      <c r="AC357" s="334">
        <f t="shared" si="177"/>
        <v>-22.962074537990073</v>
      </c>
      <c r="AE357" s="333">
        <f t="shared" si="178"/>
        <v>-6.8304603348916313</v>
      </c>
      <c r="AF357" s="334">
        <f t="shared" si="179"/>
        <v>-94.435678837933409</v>
      </c>
      <c r="AH357">
        <f t="shared" si="180"/>
        <v>0</v>
      </c>
      <c r="AI357">
        <f t="shared" si="185"/>
        <v>0</v>
      </c>
    </row>
    <row r="358" spans="1:35" x14ac:dyDescent="0.25">
      <c r="A358" s="335">
        <v>28348</v>
      </c>
      <c r="B358" s="352">
        <f t="shared" si="181"/>
        <v>28.347999999999999</v>
      </c>
      <c r="C358" s="325">
        <f t="shared" si="156"/>
        <v>60.388576218211256</v>
      </c>
      <c r="D358" s="326">
        <f t="shared" si="157"/>
        <v>1.5542361465309367</v>
      </c>
      <c r="E358" s="326">
        <f t="shared" si="158"/>
        <v>1.0025348046407863</v>
      </c>
      <c r="F358" s="327">
        <f t="shared" si="159"/>
        <v>7.1126111025578573E-2</v>
      </c>
      <c r="G358" s="326">
        <f t="shared" si="160"/>
        <v>1</v>
      </c>
      <c r="H358" s="327">
        <f t="shared" si="161"/>
        <v>0</v>
      </c>
      <c r="I358" s="325">
        <f t="shared" si="162"/>
        <v>9354.130212307944</v>
      </c>
      <c r="J358" s="328">
        <f t="shared" si="163"/>
        <v>1.5706894221464462</v>
      </c>
      <c r="K358" s="336">
        <f t="shared" si="183"/>
        <v>6.6914315220377638</v>
      </c>
      <c r="L358" s="337">
        <f t="shared" si="184"/>
        <v>1.4207895299695017</v>
      </c>
      <c r="M358" s="325">
        <f t="shared" si="164"/>
        <v>1.0324549037362816</v>
      </c>
      <c r="N358" s="337">
        <f t="shared" si="165"/>
        <v>0.25139919811251205</v>
      </c>
      <c r="O358" s="343">
        <f t="shared" si="166"/>
        <v>1.0134769350378727</v>
      </c>
      <c r="P358" s="691">
        <f t="shared" si="167"/>
        <v>0.16326235955049812</v>
      </c>
      <c r="Q358" s="336">
        <f t="shared" si="182"/>
        <v>4.3110818067225871</v>
      </c>
      <c r="R358" s="692">
        <f t="shared" si="168"/>
        <v>0.26966086527466188</v>
      </c>
      <c r="S358" s="329">
        <f t="shared" si="169"/>
        <v>0.99409565115839527</v>
      </c>
      <c r="T358" s="330">
        <f t="shared" si="170"/>
        <v>0.16576860444386521</v>
      </c>
      <c r="U358" s="331">
        <f t="shared" si="171"/>
        <v>3.0234559254339199</v>
      </c>
      <c r="V358" s="332">
        <f t="shared" si="172"/>
        <v>-123.56271666007105</v>
      </c>
      <c r="W358" s="334">
        <f t="shared" si="173"/>
        <v>56.437283339928953</v>
      </c>
      <c r="Y358" s="307">
        <f t="shared" si="174"/>
        <v>1000000000</v>
      </c>
      <c r="Z358" s="307">
        <f t="shared" si="175"/>
        <v>803609104</v>
      </c>
      <c r="AB358" s="333">
        <f t="shared" si="176"/>
        <v>34.520115109244671</v>
      </c>
      <c r="AC358" s="334">
        <f t="shared" si="177"/>
        <v>-22.992744222298263</v>
      </c>
      <c r="AE358" s="333">
        <f t="shared" si="178"/>
        <v>-6.8800114630813658</v>
      </c>
      <c r="AF358" s="334">
        <f t="shared" si="179"/>
        <v>-94.473787106313779</v>
      </c>
      <c r="AH358">
        <f t="shared" si="180"/>
        <v>0</v>
      </c>
      <c r="AI358">
        <f t="shared" si="185"/>
        <v>0</v>
      </c>
    </row>
    <row r="359" spans="1:35" x14ac:dyDescent="0.25">
      <c r="A359" s="335">
        <v>28512</v>
      </c>
      <c r="B359" s="352">
        <f t="shared" si="181"/>
        <v>28.512</v>
      </c>
      <c r="C359" s="325">
        <f t="shared" si="156"/>
        <v>60.737843135195185</v>
      </c>
      <c r="D359" s="326">
        <f t="shared" si="157"/>
        <v>1.5543313828290777</v>
      </c>
      <c r="E359" s="326">
        <f t="shared" si="158"/>
        <v>1.0025641807723498</v>
      </c>
      <c r="F359" s="327">
        <f t="shared" si="159"/>
        <v>7.1536194318664204E-2</v>
      </c>
      <c r="G359" s="326">
        <f t="shared" si="160"/>
        <v>1</v>
      </c>
      <c r="H359" s="327">
        <f t="shared" si="161"/>
        <v>0</v>
      </c>
      <c r="I359" s="325">
        <f t="shared" si="162"/>
        <v>9408.2461053986917</v>
      </c>
      <c r="J359" s="328">
        <f t="shared" si="163"/>
        <v>1.5706900370581403</v>
      </c>
      <c r="K359" s="336">
        <f t="shared" si="183"/>
        <v>6.7292809200777581</v>
      </c>
      <c r="L359" s="337">
        <f t="shared" si="184"/>
        <v>1.4216395871221685</v>
      </c>
      <c r="M359" s="325">
        <f t="shared" si="164"/>
        <v>1.0328255230688475</v>
      </c>
      <c r="N359" s="337">
        <f t="shared" si="165"/>
        <v>0.25279259274514593</v>
      </c>
      <c r="O359" s="343">
        <f t="shared" si="166"/>
        <v>1.0136322690299122</v>
      </c>
      <c r="P359" s="691">
        <f t="shared" si="167"/>
        <v>0.16419003504837398</v>
      </c>
      <c r="Q359" s="336">
        <f t="shared" si="182"/>
        <v>4.3128423152250175</v>
      </c>
      <c r="R359" s="692">
        <f t="shared" si="168"/>
        <v>0.27114669449670886</v>
      </c>
      <c r="S359" s="329">
        <f t="shared" si="169"/>
        <v>0.99402918403827378</v>
      </c>
      <c r="T359" s="330">
        <f t="shared" si="170"/>
        <v>0.16674782972971242</v>
      </c>
      <c r="U359" s="331">
        <f t="shared" si="171"/>
        <v>2.9677544036632506</v>
      </c>
      <c r="V359" s="332">
        <f t="shared" si="172"/>
        <v>-123.66392876126827</v>
      </c>
      <c r="W359" s="334">
        <f t="shared" si="173"/>
        <v>56.336071238731734</v>
      </c>
      <c r="Y359" s="307">
        <f t="shared" si="174"/>
        <v>1000000000</v>
      </c>
      <c r="Z359" s="307">
        <f t="shared" si="175"/>
        <v>812934144</v>
      </c>
      <c r="AB359" s="333">
        <f t="shared" si="176"/>
        <v>34.515884954957286</v>
      </c>
      <c r="AC359" s="334">
        <f t="shared" si="177"/>
        <v>-23.023910398632101</v>
      </c>
      <c r="AE359" s="333">
        <f t="shared" si="178"/>
        <v>-6.9292676843622409</v>
      </c>
      <c r="AF359" s="334">
        <f t="shared" si="179"/>
        <v>-94.511853178426108</v>
      </c>
      <c r="AH359">
        <f t="shared" si="180"/>
        <v>0</v>
      </c>
      <c r="AI359">
        <f t="shared" si="185"/>
        <v>0</v>
      </c>
    </row>
    <row r="360" spans="1:35" x14ac:dyDescent="0.25">
      <c r="A360" s="335">
        <v>28676</v>
      </c>
      <c r="B360" s="352">
        <f t="shared" si="181"/>
        <v>28.675999999999998</v>
      </c>
      <c r="C360" s="325">
        <f t="shared" si="156"/>
        <v>61.087110596769016</v>
      </c>
      <c r="D360" s="326">
        <f t="shared" si="157"/>
        <v>1.55442553009505</v>
      </c>
      <c r="E360" s="326">
        <f t="shared" si="158"/>
        <v>1.0025937254935378</v>
      </c>
      <c r="F360" s="327">
        <f t="shared" si="159"/>
        <v>7.1946253511799785E-2</v>
      </c>
      <c r="G360" s="326">
        <f t="shared" si="160"/>
        <v>1</v>
      </c>
      <c r="H360" s="327">
        <f t="shared" si="161"/>
        <v>0</v>
      </c>
      <c r="I360" s="325">
        <f t="shared" si="162"/>
        <v>9462.3619984929592</v>
      </c>
      <c r="J360" s="328">
        <f t="shared" si="163"/>
        <v>1.5706906449363902</v>
      </c>
      <c r="K360" s="336">
        <f t="shared" si="183"/>
        <v>6.7671351262812616</v>
      </c>
      <c r="L360" s="337">
        <f t="shared" si="184"/>
        <v>1.422480134725475</v>
      </c>
      <c r="M360" s="325">
        <f t="shared" si="164"/>
        <v>1.0331981462414621</v>
      </c>
      <c r="N360" s="337">
        <f t="shared" si="165"/>
        <v>0.25418498502330322</v>
      </c>
      <c r="O360" s="343">
        <f t="shared" si="166"/>
        <v>1.0137884750677122</v>
      </c>
      <c r="P360" s="691">
        <f t="shared" si="167"/>
        <v>0.16511742546889671</v>
      </c>
      <c r="Q360" s="336">
        <f t="shared" si="182"/>
        <v>4.3146122547930936</v>
      </c>
      <c r="R360" s="692">
        <f t="shared" si="168"/>
        <v>0.27263131325426015</v>
      </c>
      <c r="S360" s="329">
        <f t="shared" si="169"/>
        <v>0.99396238114309554</v>
      </c>
      <c r="T360" s="330">
        <f t="shared" si="170"/>
        <v>0.16772740462613808</v>
      </c>
      <c r="U360" s="331">
        <f t="shared" si="171"/>
        <v>2.9123372130446978</v>
      </c>
      <c r="V360" s="332">
        <f t="shared" si="172"/>
        <v>-123.765533880153</v>
      </c>
      <c r="W360" s="334">
        <f t="shared" si="173"/>
        <v>56.234466119846999</v>
      </c>
      <c r="Y360" s="307">
        <f t="shared" si="174"/>
        <v>1000000000</v>
      </c>
      <c r="Z360" s="307">
        <f t="shared" si="175"/>
        <v>822312976</v>
      </c>
      <c r="AB360" s="333">
        <f t="shared" si="176"/>
        <v>34.511657832324644</v>
      </c>
      <c r="AC360" s="334">
        <f t="shared" si="177"/>
        <v>-23.055563598342165</v>
      </c>
      <c r="AE360" s="333">
        <f t="shared" si="178"/>
        <v>-6.9782323349456252</v>
      </c>
      <c r="AF360" s="334">
        <f t="shared" si="179"/>
        <v>-94.549878265627427</v>
      </c>
      <c r="AH360">
        <f t="shared" si="180"/>
        <v>0</v>
      </c>
      <c r="AI360">
        <f t="shared" si="185"/>
        <v>0</v>
      </c>
    </row>
    <row r="361" spans="1:35" x14ac:dyDescent="0.25">
      <c r="A361" s="335">
        <v>28840</v>
      </c>
      <c r="B361" s="352">
        <f t="shared" si="181"/>
        <v>28.84</v>
      </c>
      <c r="C361" s="325">
        <f t="shared" si="156"/>
        <v>61.436378593644733</v>
      </c>
      <c r="D361" s="326">
        <f t="shared" si="157"/>
        <v>1.5545186069007302</v>
      </c>
      <c r="E361" s="326">
        <f t="shared" si="158"/>
        <v>1.0026234387894466</v>
      </c>
      <c r="F361" s="327">
        <f t="shared" si="159"/>
        <v>7.2356288469220265E-2</v>
      </c>
      <c r="G361" s="326">
        <f t="shared" si="160"/>
        <v>1</v>
      </c>
      <c r="H361" s="327">
        <f t="shared" si="161"/>
        <v>0</v>
      </c>
      <c r="I361" s="325">
        <f t="shared" si="162"/>
        <v>9516.4778915906809</v>
      </c>
      <c r="J361" s="328">
        <f t="shared" si="163"/>
        <v>1.5706912459011844</v>
      </c>
      <c r="K361" s="336">
        <f t="shared" si="183"/>
        <v>6.8049940604090233</v>
      </c>
      <c r="L361" s="337">
        <f t="shared" si="184"/>
        <v>1.4233113302980791</v>
      </c>
      <c r="M361" s="325">
        <f t="shared" si="164"/>
        <v>1.0335727710868547</v>
      </c>
      <c r="N361" s="337">
        <f t="shared" si="165"/>
        <v>0.25557637063500144</v>
      </c>
      <c r="O361" s="343">
        <f t="shared" si="166"/>
        <v>1.0139455527482368</v>
      </c>
      <c r="P361" s="691">
        <f t="shared" si="167"/>
        <v>0.16604452934898167</v>
      </c>
      <c r="Q361" s="336">
        <f t="shared" si="182"/>
        <v>4.3163916138260614</v>
      </c>
      <c r="R361" s="692">
        <f t="shared" si="168"/>
        <v>0.27411471658114722</v>
      </c>
      <c r="S361" s="329">
        <f t="shared" si="169"/>
        <v>0.99389524330472045</v>
      </c>
      <c r="T361" s="330">
        <f t="shared" si="170"/>
        <v>0.16870733113528336</v>
      </c>
      <c r="U361" s="331">
        <f t="shared" si="171"/>
        <v>2.857200730721984</v>
      </c>
      <c r="V361" s="332">
        <f t="shared" si="172"/>
        <v>-123.86752373725847</v>
      </c>
      <c r="W361" s="334">
        <f t="shared" si="173"/>
        <v>56.132476262741534</v>
      </c>
      <c r="Y361" s="307">
        <f t="shared" si="174"/>
        <v>1000000000</v>
      </c>
      <c r="Z361" s="307">
        <f t="shared" si="175"/>
        <v>831745600</v>
      </c>
      <c r="AB361" s="333">
        <f t="shared" si="176"/>
        <v>34.507433359171827</v>
      </c>
      <c r="AC361" s="334">
        <f t="shared" si="177"/>
        <v>-23.087694556090582</v>
      </c>
      <c r="AE361" s="333">
        <f t="shared" si="178"/>
        <v>-7.0269086941887995</v>
      </c>
      <c r="AF361" s="334">
        <f t="shared" si="179"/>
        <v>-94.587863554500856</v>
      </c>
      <c r="AH361">
        <f t="shared" si="180"/>
        <v>0</v>
      </c>
      <c r="AI361">
        <f t="shared" si="185"/>
        <v>0</v>
      </c>
    </row>
    <row r="362" spans="1:35" x14ac:dyDescent="0.25">
      <c r="A362" s="335">
        <v>29008</v>
      </c>
      <c r="B362" s="352">
        <f t="shared" si="181"/>
        <v>29.007999999999999</v>
      </c>
      <c r="C362" s="325">
        <f t="shared" si="156"/>
        <v>61.794165867708813</v>
      </c>
      <c r="D362" s="326">
        <f t="shared" si="157"/>
        <v>1.5546128629024423</v>
      </c>
      <c r="E362" s="326">
        <f t="shared" si="158"/>
        <v>1.0026540515764535</v>
      </c>
      <c r="F362" s="327">
        <f t="shared" si="159"/>
        <v>7.277629900779857E-2</v>
      </c>
      <c r="G362" s="326">
        <f t="shared" si="160"/>
        <v>1</v>
      </c>
      <c r="H362" s="327">
        <f t="shared" si="161"/>
        <v>0</v>
      </c>
      <c r="I362" s="325">
        <f t="shared" si="162"/>
        <v>9571.9136845235789</v>
      </c>
      <c r="J362" s="328">
        <f t="shared" si="163"/>
        <v>1.5706918544777846</v>
      </c>
      <c r="K362" s="336">
        <f t="shared" si="183"/>
        <v>6.8437812034591561</v>
      </c>
      <c r="L362" s="337">
        <f t="shared" si="184"/>
        <v>1.4241532630187728</v>
      </c>
      <c r="M362" s="325">
        <f t="shared" si="164"/>
        <v>1.0339586063492825</v>
      </c>
      <c r="N362" s="337">
        <f t="shared" si="165"/>
        <v>0.2570006442015676</v>
      </c>
      <c r="O362" s="343">
        <f t="shared" si="166"/>
        <v>1.0141073649596566</v>
      </c>
      <c r="P362" s="691">
        <f t="shared" si="167"/>
        <v>0.1669939468836131</v>
      </c>
      <c r="Q362" s="336">
        <f t="shared" si="182"/>
        <v>4.3182241265698549</v>
      </c>
      <c r="R362" s="692">
        <f t="shared" si="168"/>
        <v>0.27563303505751585</v>
      </c>
      <c r="S362" s="329">
        <f t="shared" si="169"/>
        <v>0.99382612153610961</v>
      </c>
      <c r="T362" s="330">
        <f t="shared" si="170"/>
        <v>0.16971152496475925</v>
      </c>
      <c r="U362" s="331">
        <f t="shared" si="171"/>
        <v>2.8010068015173264</v>
      </c>
      <c r="V362" s="332">
        <f t="shared" si="172"/>
        <v>-123.97239161000054</v>
      </c>
      <c r="W362" s="334">
        <f t="shared" si="173"/>
        <v>56.027608389999457</v>
      </c>
      <c r="Y362" s="307">
        <f t="shared" si="174"/>
        <v>1000000000</v>
      </c>
      <c r="Z362" s="307">
        <f t="shared" si="175"/>
        <v>841464064</v>
      </c>
      <c r="AB362" s="333">
        <f t="shared" si="176"/>
        <v>34.503108210039642</v>
      </c>
      <c r="AC362" s="334">
        <f t="shared" si="177"/>
        <v>-23.121095097706025</v>
      </c>
      <c r="AE362" s="333">
        <f t="shared" si="178"/>
        <v>-7.076476726895141</v>
      </c>
      <c r="AF362" s="334">
        <f t="shared" si="179"/>
        <v>-94.626735262667651</v>
      </c>
      <c r="AH362">
        <f t="shared" si="180"/>
        <v>0</v>
      </c>
      <c r="AI362">
        <f t="shared" si="185"/>
        <v>0</v>
      </c>
    </row>
    <row r="363" spans="1:35" x14ac:dyDescent="0.25">
      <c r="A363" s="335">
        <v>29176</v>
      </c>
      <c r="B363" s="352">
        <f t="shared" si="181"/>
        <v>29.175999999999998</v>
      </c>
      <c r="C363" s="325">
        <f t="shared" si="156"/>
        <v>62.151953684443534</v>
      </c>
      <c r="D363" s="326">
        <f t="shared" si="157"/>
        <v>1.5547060337050065</v>
      </c>
      <c r="E363" s="326">
        <f t="shared" si="158"/>
        <v>1.0026848412296925</v>
      </c>
      <c r="F363" s="327">
        <f t="shared" si="159"/>
        <v>7.3196283825759142E-2</v>
      </c>
      <c r="G363" s="326">
        <f t="shared" si="160"/>
        <v>1</v>
      </c>
      <c r="H363" s="327">
        <f t="shared" si="161"/>
        <v>0</v>
      </c>
      <c r="I363" s="325">
        <f t="shared" si="162"/>
        <v>9627.3494774599803</v>
      </c>
      <c r="J363" s="328">
        <f t="shared" si="163"/>
        <v>1.5706924560458251</v>
      </c>
      <c r="K363" s="336">
        <f t="shared" si="183"/>
        <v>6.882573143047777</v>
      </c>
      <c r="L363" s="337">
        <f t="shared" si="184"/>
        <v>1.4249857056284378</v>
      </c>
      <c r="M363" s="325">
        <f t="shared" si="164"/>
        <v>1.0343465374865397</v>
      </c>
      <c r="N363" s="337">
        <f t="shared" si="165"/>
        <v>0.25842385230725168</v>
      </c>
      <c r="O363" s="343">
        <f t="shared" si="166"/>
        <v>1.0142700909888738</v>
      </c>
      <c r="P363" s="691">
        <f t="shared" si="167"/>
        <v>0.16794306063092831</v>
      </c>
      <c r="Q363" s="336">
        <f t="shared" si="182"/>
        <v>4.3200664990875639</v>
      </c>
      <c r="R363" s="692">
        <f t="shared" si="168"/>
        <v>0.27715006763555661</v>
      </c>
      <c r="S363" s="329">
        <f t="shared" si="169"/>
        <v>0.99375665006974889</v>
      </c>
      <c r="T363" s="330">
        <f t="shared" si="170"/>
        <v>0.17071609202033605</v>
      </c>
      <c r="U363" s="331">
        <f t="shared" si="171"/>
        <v>2.7450999592039715</v>
      </c>
      <c r="V363" s="332">
        <f t="shared" si="172"/>
        <v>-124.0776461878955</v>
      </c>
      <c r="W363" s="334">
        <f t="shared" si="173"/>
        <v>55.922353812104504</v>
      </c>
      <c r="Y363" s="307">
        <f t="shared" si="174"/>
        <v>1000000000</v>
      </c>
      <c r="Z363" s="307">
        <f t="shared" si="175"/>
        <v>851238976</v>
      </c>
      <c r="AB363" s="333">
        <f t="shared" si="176"/>
        <v>34.498785066369997</v>
      </c>
      <c r="AC363" s="334">
        <f t="shared" si="177"/>
        <v>-23.154977934658397</v>
      </c>
      <c r="AE363" s="333">
        <f t="shared" si="178"/>
        <v>-7.1257490229020348</v>
      </c>
      <c r="AF363" s="334">
        <f t="shared" si="179"/>
        <v>-94.665567651466517</v>
      </c>
      <c r="AH363">
        <f t="shared" si="180"/>
        <v>0</v>
      </c>
      <c r="AI363">
        <f t="shared" si="185"/>
        <v>0</v>
      </c>
    </row>
    <row r="364" spans="1:35" x14ac:dyDescent="0.25">
      <c r="A364" s="335">
        <v>29344</v>
      </c>
      <c r="B364" s="352">
        <f t="shared" si="181"/>
        <v>29.344000000000001</v>
      </c>
      <c r="C364" s="325">
        <f t="shared" si="156"/>
        <v>62.509742034530625</v>
      </c>
      <c r="D364" s="326">
        <f t="shared" si="157"/>
        <v>1.5547981379409239</v>
      </c>
      <c r="E364" s="326">
        <f t="shared" si="158"/>
        <v>1.0027158077328706</v>
      </c>
      <c r="F364" s="327">
        <f t="shared" si="159"/>
        <v>7.361624277731825E-2</v>
      </c>
      <c r="G364" s="326">
        <f t="shared" si="160"/>
        <v>1</v>
      </c>
      <c r="H364" s="327">
        <f t="shared" si="161"/>
        <v>0</v>
      </c>
      <c r="I364" s="325">
        <f t="shared" si="162"/>
        <v>9682.7852703998269</v>
      </c>
      <c r="J364" s="328">
        <f t="shared" si="163"/>
        <v>1.5706930507256818</v>
      </c>
      <c r="K364" s="336">
        <f t="shared" si="183"/>
        <v>6.921369798525955</v>
      </c>
      <c r="L364" s="337">
        <f t="shared" si="184"/>
        <v>1.4258088165495635</v>
      </c>
      <c r="M364" s="325">
        <f t="shared" si="164"/>
        <v>1.0347365621413449</v>
      </c>
      <c r="N364" s="337">
        <f t="shared" si="165"/>
        <v>0.25984599038818135</v>
      </c>
      <c r="O364" s="343">
        <f t="shared" si="166"/>
        <v>1.0144337303961299</v>
      </c>
      <c r="P364" s="691">
        <f t="shared" si="167"/>
        <v>0.16889186902757736</v>
      </c>
      <c r="Q364" s="336">
        <f t="shared" si="182"/>
        <v>4.3219187187709167</v>
      </c>
      <c r="R364" s="692">
        <f t="shared" si="168"/>
        <v>0.27866580907280897</v>
      </c>
      <c r="S364" s="329">
        <f t="shared" si="169"/>
        <v>0.9936868298163466</v>
      </c>
      <c r="T364" s="330">
        <f t="shared" si="170"/>
        <v>0.17172103445336503</v>
      </c>
      <c r="U364" s="331">
        <f t="shared" si="171"/>
        <v>2.689476523656178</v>
      </c>
      <c r="V364" s="332">
        <f t="shared" si="172"/>
        <v>-124.18327912779218</v>
      </c>
      <c r="W364" s="334">
        <f t="shared" si="173"/>
        <v>55.816720872207824</v>
      </c>
      <c r="Y364" s="307">
        <f t="shared" si="174"/>
        <v>1000000000</v>
      </c>
      <c r="Z364" s="307">
        <f t="shared" si="175"/>
        <v>861070336</v>
      </c>
      <c r="AB364" s="333">
        <f t="shared" si="176"/>
        <v>34.494463554097017</v>
      </c>
      <c r="AC364" s="334">
        <f t="shared" si="177"/>
        <v>-23.189333735414081</v>
      </c>
      <c r="AE364" s="333">
        <f t="shared" si="178"/>
        <v>-7.1747289301731971</v>
      </c>
      <c r="AF364" s="334">
        <f t="shared" si="179"/>
        <v>-94.704361920077289</v>
      </c>
      <c r="AH364">
        <f t="shared" si="180"/>
        <v>0</v>
      </c>
      <c r="AI364">
        <f t="shared" si="185"/>
        <v>0</v>
      </c>
    </row>
    <row r="365" spans="1:35" x14ac:dyDescent="0.25">
      <c r="A365" s="335">
        <v>29512</v>
      </c>
      <c r="B365" s="352">
        <f t="shared" si="181"/>
        <v>29.512</v>
      </c>
      <c r="C365" s="325">
        <f t="shared" si="156"/>
        <v>62.86753090886392</v>
      </c>
      <c r="D365" s="326">
        <f t="shared" si="157"/>
        <v>1.5548891938186074</v>
      </c>
      <c r="E365" s="326">
        <f t="shared" si="158"/>
        <v>1.0027469510696041</v>
      </c>
      <c r="F365" s="327">
        <f t="shared" si="159"/>
        <v>7.4036175716746616E-2</v>
      </c>
      <c r="G365" s="326">
        <f t="shared" si="160"/>
        <v>1</v>
      </c>
      <c r="H365" s="327">
        <f t="shared" si="161"/>
        <v>0</v>
      </c>
      <c r="I365" s="325">
        <f t="shared" si="162"/>
        <v>9738.2210633430586</v>
      </c>
      <c r="J365" s="328">
        <f t="shared" si="163"/>
        <v>1.5706936386349901</v>
      </c>
      <c r="K365" s="336">
        <f t="shared" si="183"/>
        <v>6.9601710910332359</v>
      </c>
      <c r="L365" s="337">
        <f t="shared" si="184"/>
        <v>1.4266227507231937</v>
      </c>
      <c r="M365" s="325">
        <f t="shared" si="164"/>
        <v>1.0351286779472582</v>
      </c>
      <c r="N365" s="337">
        <f t="shared" si="165"/>
        <v>0.26126705390465688</v>
      </c>
      <c r="O365" s="343">
        <f t="shared" si="166"/>
        <v>1.0145982827394833</v>
      </c>
      <c r="P365" s="691">
        <f t="shared" si="167"/>
        <v>0.16984037051341508</v>
      </c>
      <c r="Q365" s="336">
        <f t="shared" si="182"/>
        <v>4.3237807729659146</v>
      </c>
      <c r="R365" s="692">
        <f t="shared" si="168"/>
        <v>0.28018025415929487</v>
      </c>
      <c r="S365" s="329">
        <f t="shared" si="169"/>
        <v>0.99361666169218243</v>
      </c>
      <c r="T365" s="330">
        <f t="shared" si="170"/>
        <v>0.17272635441488582</v>
      </c>
      <c r="U365" s="331">
        <f t="shared" si="171"/>
        <v>2.6341328835539586</v>
      </c>
      <c r="V365" s="332">
        <f t="shared" si="172"/>
        <v>-124.2892822645973</v>
      </c>
      <c r="W365" s="334">
        <f t="shared" si="173"/>
        <v>55.710717735402696</v>
      </c>
      <c r="Y365" s="307">
        <f t="shared" si="174"/>
        <v>1000000000</v>
      </c>
      <c r="Z365" s="307">
        <f t="shared" si="175"/>
        <v>870958144</v>
      </c>
      <c r="AB365" s="333">
        <f t="shared" si="176"/>
        <v>34.490143310751648</v>
      </c>
      <c r="AC365" s="334">
        <f t="shared" si="177"/>
        <v>-23.224153369139565</v>
      </c>
      <c r="AE365" s="333">
        <f t="shared" si="178"/>
        <v>-7.2234197395706214</v>
      </c>
      <c r="AF365" s="334">
        <f t="shared" si="179"/>
        <v>-94.743119243360312</v>
      </c>
      <c r="AH365">
        <f t="shared" si="180"/>
        <v>0</v>
      </c>
      <c r="AI365">
        <f t="shared" si="185"/>
        <v>0</v>
      </c>
    </row>
    <row r="366" spans="1:35" x14ac:dyDescent="0.25">
      <c r="A366" s="335">
        <v>29684</v>
      </c>
      <c r="B366" s="352">
        <f t="shared" si="181"/>
        <v>29.684000000000001</v>
      </c>
      <c r="C366" s="325">
        <f t="shared" si="156"/>
        <v>63.233839099744962</v>
      </c>
      <c r="D366" s="326">
        <f t="shared" si="157"/>
        <v>1.5549813501773952</v>
      </c>
      <c r="E366" s="326">
        <f t="shared" si="158"/>
        <v>1.0027790190963122</v>
      </c>
      <c r="F366" s="327">
        <f t="shared" si="159"/>
        <v>7.4466079958870363E-2</v>
      </c>
      <c r="G366" s="326">
        <f t="shared" si="160"/>
        <v>1</v>
      </c>
      <c r="H366" s="327">
        <f t="shared" si="161"/>
        <v>0</v>
      </c>
      <c r="I366" s="325">
        <f t="shared" si="162"/>
        <v>9794.9767561217177</v>
      </c>
      <c r="J366" s="328">
        <f t="shared" si="163"/>
        <v>1.5706942336479055</v>
      </c>
      <c r="K366" s="336">
        <f t="shared" si="183"/>
        <v>6.999900947269226</v>
      </c>
      <c r="L366" s="337">
        <f t="shared" si="184"/>
        <v>1.4274467154274437</v>
      </c>
      <c r="M366" s="325">
        <f t="shared" si="164"/>
        <v>1.0355322937909572</v>
      </c>
      <c r="N366" s="337">
        <f t="shared" si="165"/>
        <v>0.26272083430541909</v>
      </c>
      <c r="O366" s="343">
        <f t="shared" si="166"/>
        <v>1.0147676983317264</v>
      </c>
      <c r="P366" s="691">
        <f t="shared" si="167"/>
        <v>0.17081113578330454</v>
      </c>
      <c r="Q366" s="336">
        <f t="shared" si="182"/>
        <v>4.3256973370551846</v>
      </c>
      <c r="R366" s="692">
        <f t="shared" si="168"/>
        <v>0.28172940903947369</v>
      </c>
      <c r="S366" s="329">
        <f t="shared" si="169"/>
        <v>0.99354446346772984</v>
      </c>
      <c r="T366" s="330">
        <f t="shared" si="170"/>
        <v>0.1737560039304534</v>
      </c>
      <c r="U366" s="331">
        <f t="shared" si="171"/>
        <v>2.5777577046745028</v>
      </c>
      <c r="V366" s="332">
        <f t="shared" si="172"/>
        <v>-124.3981844646807</v>
      </c>
      <c r="W366" s="334">
        <f t="shared" si="173"/>
        <v>55.601815535319304</v>
      </c>
      <c r="Y366" s="307">
        <f t="shared" si="174"/>
        <v>1000000000</v>
      </c>
      <c r="Z366" s="307">
        <f t="shared" si="175"/>
        <v>881139856</v>
      </c>
      <c r="AB366" s="333">
        <f t="shared" si="176"/>
        <v>34.485721152358359</v>
      </c>
      <c r="AC366" s="334">
        <f t="shared" si="177"/>
        <v>-23.26027324219088</v>
      </c>
      <c r="AE366" s="333">
        <f t="shared" si="178"/>
        <v>-7.2729737269818964</v>
      </c>
      <c r="AF366" s="334">
        <f t="shared" si="179"/>
        <v>-94.782762286770705</v>
      </c>
      <c r="AH366">
        <f t="shared" si="180"/>
        <v>0</v>
      </c>
      <c r="AI366">
        <f t="shared" si="185"/>
        <v>0</v>
      </c>
    </row>
    <row r="367" spans="1:35" x14ac:dyDescent="0.25">
      <c r="A367" s="335">
        <v>29856</v>
      </c>
      <c r="B367" s="352">
        <f t="shared" si="181"/>
        <v>29.856000000000002</v>
      </c>
      <c r="C367" s="325">
        <f t="shared" si="156"/>
        <v>63.600147821471879</v>
      </c>
      <c r="D367" s="326">
        <f t="shared" si="157"/>
        <v>1.5550724449772158</v>
      </c>
      <c r="E367" s="326">
        <f t="shared" si="158"/>
        <v>1.0028112724424165</v>
      </c>
      <c r="F367" s="327">
        <f t="shared" si="159"/>
        <v>7.4895956626480825E-2</v>
      </c>
      <c r="G367" s="326">
        <f t="shared" si="160"/>
        <v>1</v>
      </c>
      <c r="H367" s="327">
        <f t="shared" si="161"/>
        <v>0</v>
      </c>
      <c r="I367" s="325">
        <f t="shared" si="162"/>
        <v>9851.7324489038056</v>
      </c>
      <c r="J367" s="328">
        <f t="shared" si="163"/>
        <v>1.5706948218050987</v>
      </c>
      <c r="K367" s="336">
        <f t="shared" si="183"/>
        <v>7.0396355022188164</v>
      </c>
      <c r="L367" s="337">
        <f t="shared" si="184"/>
        <v>1.4282613790983365</v>
      </c>
      <c r="M367" s="325">
        <f t="shared" si="164"/>
        <v>1.0359380965007174</v>
      </c>
      <c r="N367" s="337">
        <f t="shared" si="165"/>
        <v>0.26417347881045455</v>
      </c>
      <c r="O367" s="343">
        <f t="shared" si="166"/>
        <v>1.0149380699062578</v>
      </c>
      <c r="P367" s="691">
        <f t="shared" si="167"/>
        <v>0.17178157605436498</v>
      </c>
      <c r="Q367" s="336">
        <f t="shared" si="182"/>
        <v>4.3276241825528254</v>
      </c>
      <c r="R367" s="692">
        <f t="shared" si="168"/>
        <v>0.28327719415542524</v>
      </c>
      <c r="S367" s="329">
        <f t="shared" si="169"/>
        <v>0.99347190257167917</v>
      </c>
      <c r="T367" s="330">
        <f t="shared" si="170"/>
        <v>0.17478605372811554</v>
      </c>
      <c r="U367" s="331">
        <f t="shared" si="171"/>
        <v>2.5216683564322535</v>
      </c>
      <c r="V367" s="332">
        <f t="shared" si="172"/>
        <v>-124.5074579307673</v>
      </c>
      <c r="W367" s="334">
        <f t="shared" si="173"/>
        <v>55.492542069232698</v>
      </c>
      <c r="Y367" s="307">
        <f t="shared" si="174"/>
        <v>1000000000</v>
      </c>
      <c r="Z367" s="307">
        <f t="shared" si="175"/>
        <v>891380736</v>
      </c>
      <c r="AB367" s="333">
        <f t="shared" si="176"/>
        <v>34.481299590738082</v>
      </c>
      <c r="AC367" s="334">
        <f t="shared" si="177"/>
        <v>-23.296860550364162</v>
      </c>
      <c r="AE367" s="333">
        <f t="shared" si="178"/>
        <v>-7.3222314892380558</v>
      </c>
      <c r="AF367" s="334">
        <f t="shared" si="179"/>
        <v>-94.822369021710387</v>
      </c>
      <c r="AH367">
        <f t="shared" si="180"/>
        <v>0</v>
      </c>
      <c r="AI367">
        <f t="shared" si="185"/>
        <v>0</v>
      </c>
    </row>
    <row r="368" spans="1:35" x14ac:dyDescent="0.25">
      <c r="A368" s="335">
        <v>30028</v>
      </c>
      <c r="B368" s="352">
        <f t="shared" si="181"/>
        <v>30.027999999999999</v>
      </c>
      <c r="C368" s="325">
        <f t="shared" si="156"/>
        <v>63.966457064924874</v>
      </c>
      <c r="D368" s="326">
        <f t="shared" si="157"/>
        <v>1.5551624964538613</v>
      </c>
      <c r="E368" s="326">
        <f t="shared" si="158"/>
        <v>1.0028437110900363</v>
      </c>
      <c r="F368" s="327">
        <f t="shared" si="159"/>
        <v>7.5325805563369083E-2</v>
      </c>
      <c r="G368" s="326">
        <f t="shared" si="160"/>
        <v>1</v>
      </c>
      <c r="H368" s="327">
        <f t="shared" si="161"/>
        <v>0</v>
      </c>
      <c r="I368" s="325">
        <f t="shared" si="162"/>
        <v>9908.488141689264</v>
      </c>
      <c r="J368" s="328">
        <f t="shared" si="163"/>
        <v>1.5706954032243783</v>
      </c>
      <c r="K368" s="336">
        <f t="shared" si="183"/>
        <v>7.0793746767643002</v>
      </c>
      <c r="L368" s="337">
        <f t="shared" si="184"/>
        <v>1.429066897275842</v>
      </c>
      <c r="M368" s="325">
        <f t="shared" si="164"/>
        <v>1.0363460835076004</v>
      </c>
      <c r="N368" s="337">
        <f t="shared" si="165"/>
        <v>0.26562498262705642</v>
      </c>
      <c r="O368" s="343">
        <f t="shared" si="166"/>
        <v>1.0151093969817337</v>
      </c>
      <c r="P368" s="691">
        <f t="shared" si="167"/>
        <v>0.17275168966286511</v>
      </c>
      <c r="Q368" s="336">
        <f t="shared" si="182"/>
        <v>4.3295612957328649</v>
      </c>
      <c r="R368" s="692">
        <f t="shared" si="168"/>
        <v>0.28482360402219031</v>
      </c>
      <c r="S368" s="329">
        <f t="shared" si="169"/>
        <v>0.99339898000551297</v>
      </c>
      <c r="T368" s="330">
        <f t="shared" si="170"/>
        <v>0.17581650611519198</v>
      </c>
      <c r="U368" s="331">
        <f t="shared" si="171"/>
        <v>2.4658611766991654</v>
      </c>
      <c r="V368" s="332">
        <f t="shared" si="172"/>
        <v>-124.61709445026501</v>
      </c>
      <c r="W368" s="334">
        <f t="shared" si="173"/>
        <v>55.382905549734986</v>
      </c>
      <c r="Y368" s="307">
        <f t="shared" si="174"/>
        <v>1000000000</v>
      </c>
      <c r="Z368" s="307">
        <f t="shared" si="175"/>
        <v>901680784</v>
      </c>
      <c r="AB368" s="333">
        <f t="shared" si="176"/>
        <v>34.476878272249408</v>
      </c>
      <c r="AC368" s="334">
        <f t="shared" si="177"/>
        <v>-23.333906114023627</v>
      </c>
      <c r="AE368" s="333">
        <f t="shared" si="178"/>
        <v>-7.3711963802467846</v>
      </c>
      <c r="AF368" s="334">
        <f t="shared" si="179"/>
        <v>-94.861940634163105</v>
      </c>
      <c r="AH368">
        <f t="shared" si="180"/>
        <v>0</v>
      </c>
      <c r="AI368">
        <f t="shared" si="185"/>
        <v>0</v>
      </c>
    </row>
    <row r="369" spans="1:35" x14ac:dyDescent="0.25">
      <c r="A369" s="335">
        <v>30200</v>
      </c>
      <c r="B369" s="352">
        <f t="shared" si="181"/>
        <v>30.2</v>
      </c>
      <c r="C369" s="325">
        <f t="shared" si="156"/>
        <v>64.332766821191868</v>
      </c>
      <c r="D369" s="326">
        <f t="shared" si="157"/>
        <v>1.555251522427856</v>
      </c>
      <c r="E369" s="326">
        <f t="shared" si="158"/>
        <v>1.0028763350211902</v>
      </c>
      <c r="F369" s="327">
        <f t="shared" si="159"/>
        <v>7.575562661338725E-2</v>
      </c>
      <c r="G369" s="326">
        <f t="shared" si="160"/>
        <v>1</v>
      </c>
      <c r="H369" s="327">
        <f t="shared" si="161"/>
        <v>0</v>
      </c>
      <c r="I369" s="325">
        <f t="shared" si="162"/>
        <v>9965.2438344780312</v>
      </c>
      <c r="J369" s="328">
        <f t="shared" si="163"/>
        <v>1.5706959780208687</v>
      </c>
      <c r="K369" s="336">
        <f t="shared" si="183"/>
        <v>7.1191183935454276</v>
      </c>
      <c r="L369" s="337">
        <f t="shared" si="184"/>
        <v>1.4298634220746955</v>
      </c>
      <c r="M369" s="325">
        <f t="shared" si="164"/>
        <v>1.0367562522328959</v>
      </c>
      <c r="N369" s="337">
        <f t="shared" si="165"/>
        <v>0.26707534098926788</v>
      </c>
      <c r="O369" s="343">
        <f t="shared" si="166"/>
        <v>1.0152816790744363</v>
      </c>
      <c r="P369" s="691">
        <f t="shared" si="167"/>
        <v>0.17372147494865303</v>
      </c>
      <c r="Q369" s="336">
        <f t="shared" si="182"/>
        <v>4.3315086628208093</v>
      </c>
      <c r="R369" s="692">
        <f t="shared" si="168"/>
        <v>0.28636863319067413</v>
      </c>
      <c r="S369" s="329">
        <f t="shared" si="169"/>
        <v>0.99332569677685767</v>
      </c>
      <c r="T369" s="330">
        <f t="shared" si="170"/>
        <v>0.17684736339863427</v>
      </c>
      <c r="U369" s="331">
        <f t="shared" si="171"/>
        <v>2.410332571816773</v>
      </c>
      <c r="V369" s="332">
        <f t="shared" si="172"/>
        <v>-124.72708598624382</v>
      </c>
      <c r="W369" s="334">
        <f t="shared" si="173"/>
        <v>55.272914013756179</v>
      </c>
      <c r="Y369" s="307">
        <f t="shared" si="174"/>
        <v>1000000000</v>
      </c>
      <c r="Z369" s="307">
        <f t="shared" si="175"/>
        <v>912040000</v>
      </c>
      <c r="AB369" s="333">
        <f t="shared" si="176"/>
        <v>34.47245685439529</v>
      </c>
      <c r="AC369" s="334">
        <f t="shared" si="177"/>
        <v>-23.371400951163857</v>
      </c>
      <c r="AE369" s="333">
        <f t="shared" si="178"/>
        <v>-7.4198716967002101</v>
      </c>
      <c r="AF369" s="334">
        <f t="shared" si="179"/>
        <v>-94.901478286294861</v>
      </c>
      <c r="AH369">
        <f t="shared" si="180"/>
        <v>0</v>
      </c>
      <c r="AI369">
        <f t="shared" si="185"/>
        <v>0</v>
      </c>
    </row>
    <row r="370" spans="1:35" x14ac:dyDescent="0.25">
      <c r="A370" s="335">
        <v>30375.75</v>
      </c>
      <c r="B370" s="352">
        <f t="shared" si="181"/>
        <v>30.37575</v>
      </c>
      <c r="C370" s="325">
        <f t="shared" si="156"/>
        <v>64.707063502673861</v>
      </c>
      <c r="D370" s="326">
        <f t="shared" si="157"/>
        <v>1.555341448210479</v>
      </c>
      <c r="E370" s="326">
        <f t="shared" si="158"/>
        <v>1.0029098615980887</v>
      </c>
      <c r="F370" s="327">
        <f t="shared" si="159"/>
        <v>7.6194789793984405E-2</v>
      </c>
      <c r="G370" s="326">
        <f t="shared" si="160"/>
        <v>1</v>
      </c>
      <c r="H370" s="327">
        <f t="shared" si="161"/>
        <v>0</v>
      </c>
      <c r="I370" s="325">
        <f t="shared" si="162"/>
        <v>10023.236933362939</v>
      </c>
      <c r="J370" s="328">
        <f t="shared" si="163"/>
        <v>1.5706965586253614</v>
      </c>
      <c r="K370" s="336">
        <f t="shared" si="183"/>
        <v>7.1597332289402482</v>
      </c>
      <c r="L370" s="337">
        <f t="shared" si="184"/>
        <v>1.4306681781176711</v>
      </c>
      <c r="M370" s="325">
        <f t="shared" si="164"/>
        <v>1.037177614483868</v>
      </c>
      <c r="N370" s="337">
        <f t="shared" si="165"/>
        <v>0.26855613241901727</v>
      </c>
      <c r="O370" s="343">
        <f t="shared" si="166"/>
        <v>1.015458703288258</v>
      </c>
      <c r="P370" s="691">
        <f t="shared" si="167"/>
        <v>0.17471206294740055</v>
      </c>
      <c r="Q370" s="336">
        <f t="shared" si="182"/>
        <v>4.3335090643415946</v>
      </c>
      <c r="R370" s="692">
        <f t="shared" si="168"/>
        <v>0.28794591577610035</v>
      </c>
      <c r="S370" s="329">
        <f t="shared" si="169"/>
        <v>0.99325044431507814</v>
      </c>
      <c r="T370" s="330">
        <f t="shared" si="170"/>
        <v>0.1779011164021902</v>
      </c>
      <c r="U370" s="331">
        <f t="shared" si="171"/>
        <v>2.3538773965013968</v>
      </c>
      <c r="V370" s="332">
        <f t="shared" si="172"/>
        <v>-124.83983412150417</v>
      </c>
      <c r="W370" s="334">
        <f t="shared" si="173"/>
        <v>55.160165878495832</v>
      </c>
      <c r="Y370" s="307">
        <f t="shared" si="174"/>
        <v>1000000000</v>
      </c>
      <c r="Z370" s="307">
        <f t="shared" si="175"/>
        <v>922686188.0625</v>
      </c>
      <c r="AB370" s="333">
        <f t="shared" si="176"/>
        <v>34.467938591634194</v>
      </c>
      <c r="AC370" s="334">
        <f t="shared" si="177"/>
        <v>-23.410168191858787</v>
      </c>
      <c r="AE370" s="333">
        <f t="shared" si="178"/>
        <v>-7.4693125063216126</v>
      </c>
      <c r="AF370" s="334">
        <f t="shared" si="179"/>
        <v>-94.941844057141921</v>
      </c>
      <c r="AH370">
        <f t="shared" si="180"/>
        <v>0</v>
      </c>
      <c r="AI370">
        <f t="shared" si="185"/>
        <v>0</v>
      </c>
    </row>
    <row r="371" spans="1:35" x14ac:dyDescent="0.25">
      <c r="A371" s="335">
        <v>30551.5</v>
      </c>
      <c r="B371" s="352">
        <f t="shared" si="181"/>
        <v>30.551500000000001</v>
      </c>
      <c r="C371" s="325">
        <f t="shared" si="156"/>
        <v>65.0813607014002</v>
      </c>
      <c r="D371" s="326">
        <f t="shared" si="157"/>
        <v>1.5554303396279627</v>
      </c>
      <c r="E371" s="326">
        <f t="shared" si="158"/>
        <v>1.0029435815875412</v>
      </c>
      <c r="F371" s="327">
        <f t="shared" si="159"/>
        <v>7.6633923529039055E-2</v>
      </c>
      <c r="G371" s="326">
        <f t="shared" si="160"/>
        <v>1</v>
      </c>
      <c r="H371" s="327">
        <f t="shared" si="161"/>
        <v>0</v>
      </c>
      <c r="I371" s="325">
        <f t="shared" si="162"/>
        <v>10081.230032251187</v>
      </c>
      <c r="J371" s="328">
        <f t="shared" si="163"/>
        <v>1.5706971325499046</v>
      </c>
      <c r="K371" s="336">
        <f t="shared" si="183"/>
        <v>7.2003526488975611</v>
      </c>
      <c r="L371" s="337">
        <f t="shared" si="184"/>
        <v>1.431463854914816</v>
      </c>
      <c r="M371" s="325">
        <f t="shared" si="164"/>
        <v>1.0376012491490303</v>
      </c>
      <c r="N371" s="337">
        <f t="shared" si="165"/>
        <v>0.27003571792779646</v>
      </c>
      <c r="O371" s="343">
        <f t="shared" si="166"/>
        <v>1.0156367235878165</v>
      </c>
      <c r="P371" s="691">
        <f t="shared" si="167"/>
        <v>0.17570230465801101</v>
      </c>
      <c r="Q371" s="336">
        <f t="shared" si="182"/>
        <v>4.3355201425324852</v>
      </c>
      <c r="R371" s="692">
        <f t="shared" si="168"/>
        <v>0.2895217454141466</v>
      </c>
      <c r="S371" s="329">
        <f t="shared" si="169"/>
        <v>0.99317481743947689</v>
      </c>
      <c r="T371" s="330">
        <f t="shared" si="170"/>
        <v>0.1789552970185333</v>
      </c>
      <c r="U371" s="331">
        <f t="shared" si="171"/>
        <v>2.2977057012215898</v>
      </c>
      <c r="V371" s="332">
        <f t="shared" si="172"/>
        <v>-124.95293649816945</v>
      </c>
      <c r="W371" s="334">
        <f t="shared" si="173"/>
        <v>55.04706350183055</v>
      </c>
      <c r="Y371" s="307">
        <f t="shared" si="174"/>
        <v>1000000000</v>
      </c>
      <c r="Z371" s="307">
        <f t="shared" si="175"/>
        <v>933394152.25</v>
      </c>
      <c r="AB371" s="333">
        <f t="shared" si="176"/>
        <v>34.463419536174634</v>
      </c>
      <c r="AC371" s="334">
        <f t="shared" si="177"/>
        <v>-23.449386158106567</v>
      </c>
      <c r="AE371" s="333">
        <f t="shared" si="178"/>
        <v>-7.518457758836381</v>
      </c>
      <c r="AF371" s="334">
        <f t="shared" si="179"/>
        <v>-94.982176750745268</v>
      </c>
      <c r="AH371">
        <f t="shared" si="180"/>
        <v>0</v>
      </c>
      <c r="AI371">
        <f t="shared" si="185"/>
        <v>0</v>
      </c>
    </row>
    <row r="372" spans="1:35" x14ac:dyDescent="0.25">
      <c r="A372" s="335">
        <v>30727.25</v>
      </c>
      <c r="B372" s="352">
        <f t="shared" si="181"/>
        <v>30.727250000000002</v>
      </c>
      <c r="C372" s="325">
        <f t="shared" si="156"/>
        <v>65.455658408497555</v>
      </c>
      <c r="D372" s="326">
        <f t="shared" si="157"/>
        <v>1.5555182144234447</v>
      </c>
      <c r="E372" s="326">
        <f t="shared" si="158"/>
        <v>1.0029774949700401</v>
      </c>
      <c r="F372" s="327">
        <f t="shared" si="159"/>
        <v>7.7073027652165921E-2</v>
      </c>
      <c r="G372" s="326">
        <f t="shared" si="160"/>
        <v>1</v>
      </c>
      <c r="H372" s="327">
        <f t="shared" si="161"/>
        <v>0</v>
      </c>
      <c r="I372" s="325">
        <f t="shared" si="162"/>
        <v>10139.22313114272</v>
      </c>
      <c r="J372" s="328">
        <f t="shared" si="163"/>
        <v>1.5706976999091198</v>
      </c>
      <c r="K372" s="336">
        <f t="shared" si="183"/>
        <v>7.2409765762638481</v>
      </c>
      <c r="L372" s="337">
        <f t="shared" si="184"/>
        <v>1.4322506042614824</v>
      </c>
      <c r="M372" s="325">
        <f t="shared" si="164"/>
        <v>1.0380271534461627</v>
      </c>
      <c r="N372" s="337">
        <f t="shared" si="165"/>
        <v>0.27151409251791164</v>
      </c>
      <c r="O372" s="343">
        <f t="shared" si="166"/>
        <v>1.0158157394494238</v>
      </c>
      <c r="P372" s="691">
        <f t="shared" si="167"/>
        <v>0.17669219832103691</v>
      </c>
      <c r="Q372" s="336">
        <f t="shared" si="182"/>
        <v>4.3375418825440981</v>
      </c>
      <c r="R372" s="692">
        <f t="shared" si="168"/>
        <v>0.29109611640777028</v>
      </c>
      <c r="S372" s="329">
        <f t="shared" si="169"/>
        <v>0.99309881724495086</v>
      </c>
      <c r="T372" s="330">
        <f t="shared" si="170"/>
        <v>0.18000990770758321</v>
      </c>
      <c r="U372" s="331">
        <f t="shared" si="171"/>
        <v>2.241813862967363</v>
      </c>
      <c r="V372" s="332">
        <f t="shared" si="172"/>
        <v>-125.06638508070293</v>
      </c>
      <c r="W372" s="334">
        <f t="shared" si="173"/>
        <v>54.933614919297071</v>
      </c>
      <c r="Y372" s="307">
        <f t="shared" si="174"/>
        <v>1000000000</v>
      </c>
      <c r="Z372" s="307">
        <f t="shared" si="175"/>
        <v>944163892.5625</v>
      </c>
      <c r="AB372" s="333">
        <f t="shared" si="176"/>
        <v>34.458899356352887</v>
      </c>
      <c r="AC372" s="334">
        <f t="shared" si="177"/>
        <v>-23.489045872894692</v>
      </c>
      <c r="AE372" s="333">
        <f t="shared" si="178"/>
        <v>-7.5673107945065325</v>
      </c>
      <c r="AF372" s="334">
        <f t="shared" si="179"/>
        <v>-95.022477534187999</v>
      </c>
      <c r="AH372">
        <f t="shared" si="180"/>
        <v>0</v>
      </c>
      <c r="AI372">
        <f t="shared" si="185"/>
        <v>0</v>
      </c>
    </row>
    <row r="373" spans="1:35" x14ac:dyDescent="0.25">
      <c r="A373" s="335">
        <v>30903</v>
      </c>
      <c r="B373" s="352">
        <f t="shared" si="181"/>
        <v>30.902999999999999</v>
      </c>
      <c r="C373" s="325">
        <f t="shared" si="156"/>
        <v>65.829956615294407</v>
      </c>
      <c r="D373" s="326">
        <f t="shared" si="157"/>
        <v>1.5556050899365881</v>
      </c>
      <c r="E373" s="326">
        <f t="shared" si="158"/>
        <v>1.0030116017259689</v>
      </c>
      <c r="F373" s="327">
        <f t="shared" si="159"/>
        <v>7.7512101997047847E-2</v>
      </c>
      <c r="G373" s="326">
        <f t="shared" si="160"/>
        <v>1</v>
      </c>
      <c r="H373" s="327">
        <f t="shared" si="161"/>
        <v>0</v>
      </c>
      <c r="I373" s="325">
        <f t="shared" si="162"/>
        <v>10197.216230037477</v>
      </c>
      <c r="J373" s="328">
        <f t="shared" si="163"/>
        <v>1.5706982608150208</v>
      </c>
      <c r="K373" s="336">
        <f t="shared" si="183"/>
        <v>7.2816049355988808</v>
      </c>
      <c r="L373" s="337">
        <f t="shared" si="184"/>
        <v>1.4330285746099729</v>
      </c>
      <c r="M373" s="325">
        <f t="shared" si="164"/>
        <v>1.0384553245827153</v>
      </c>
      <c r="N373" s="337">
        <f t="shared" si="165"/>
        <v>0.27299125122101842</v>
      </c>
      <c r="O373" s="343">
        <f t="shared" si="166"/>
        <v>1.0159957503468335</v>
      </c>
      <c r="P373" s="691">
        <f t="shared" si="167"/>
        <v>0.17768174218099572</v>
      </c>
      <c r="Q373" s="336">
        <f t="shared" si="182"/>
        <v>4.3395742694760715</v>
      </c>
      <c r="R373" s="692">
        <f t="shared" si="168"/>
        <v>0.2926690230991858</v>
      </c>
      <c r="S373" s="329">
        <f t="shared" si="169"/>
        <v>0.99302244483312097</v>
      </c>
      <c r="T373" s="330">
        <f t="shared" si="170"/>
        <v>0.1810649509288276</v>
      </c>
      <c r="U373" s="331">
        <f t="shared" si="171"/>
        <v>2.186198326347923</v>
      </c>
      <c r="V373" s="332">
        <f t="shared" si="172"/>
        <v>-125.18017200551839</v>
      </c>
      <c r="W373" s="334">
        <f t="shared" si="173"/>
        <v>54.819827994481614</v>
      </c>
      <c r="Y373" s="307">
        <f t="shared" si="174"/>
        <v>1000000000</v>
      </c>
      <c r="Z373" s="307">
        <f t="shared" si="175"/>
        <v>954995409</v>
      </c>
      <c r="AB373" s="333">
        <f t="shared" si="176"/>
        <v>34.45437773113072</v>
      </c>
      <c r="AC373" s="334">
        <f t="shared" si="177"/>
        <v>-23.529138552285552</v>
      </c>
      <c r="AE373" s="333">
        <f t="shared" si="178"/>
        <v>-7.6158748967110164</v>
      </c>
      <c r="AF373" s="334">
        <f t="shared" si="179"/>
        <v>-95.062747551407128</v>
      </c>
      <c r="AH373">
        <f t="shared" si="180"/>
        <v>0</v>
      </c>
      <c r="AI373">
        <f t="shared" si="185"/>
        <v>0</v>
      </c>
    </row>
    <row r="374" spans="1:35" x14ac:dyDescent="0.25">
      <c r="A374" s="335">
        <v>31083</v>
      </c>
      <c r="B374" s="352">
        <f t="shared" si="181"/>
        <v>31.082999999999998</v>
      </c>
      <c r="C374" s="325">
        <f t="shared" si="156"/>
        <v>66.213306639195523</v>
      </c>
      <c r="D374" s="326">
        <f t="shared" si="157"/>
        <v>1.5556930481649376</v>
      </c>
      <c r="E374" s="326">
        <f t="shared" si="158"/>
        <v>1.0030467336777031</v>
      </c>
      <c r="F374" s="327">
        <f t="shared" si="159"/>
        <v>7.7961763030646919E-2</v>
      </c>
      <c r="G374" s="326">
        <f t="shared" si="160"/>
        <v>1</v>
      </c>
      <c r="H374" s="327">
        <f t="shared" si="161"/>
        <v>0</v>
      </c>
      <c r="I374" s="325">
        <f t="shared" si="162"/>
        <v>10256.611722507658</v>
      </c>
      <c r="J374" s="328">
        <f t="shared" si="163"/>
        <v>1.5706988287098915</v>
      </c>
      <c r="K374" s="336">
        <f t="shared" si="183"/>
        <v>7.3232202899883525</v>
      </c>
      <c r="L374" s="337">
        <f t="shared" si="184"/>
        <v>1.4338164095931474</v>
      </c>
      <c r="M374" s="325">
        <f t="shared" si="164"/>
        <v>1.0388961965853569</v>
      </c>
      <c r="N374" s="337">
        <f t="shared" si="165"/>
        <v>0.27450286518219558</v>
      </c>
      <c r="O374" s="343">
        <f t="shared" si="166"/>
        <v>1.0161811451488094</v>
      </c>
      <c r="P374" s="691">
        <f t="shared" si="167"/>
        <v>0.17869485084263906</v>
      </c>
      <c r="Q374" s="336">
        <f t="shared" si="182"/>
        <v>4.3416668243525187</v>
      </c>
      <c r="R374" s="692">
        <f t="shared" si="168"/>
        <v>0.29427844222524857</v>
      </c>
      <c r="S374" s="329">
        <f t="shared" si="169"/>
        <v>0.99294384090832832</v>
      </c>
      <c r="T374" s="330">
        <f t="shared" si="170"/>
        <v>0.1821459582037486</v>
      </c>
      <c r="U374" s="331">
        <f t="shared" si="171"/>
        <v>2.1295206495404058</v>
      </c>
      <c r="V374" s="332">
        <f t="shared" si="172"/>
        <v>-125.2970532075589</v>
      </c>
      <c r="W374" s="334">
        <f t="shared" si="173"/>
        <v>54.702946792441097</v>
      </c>
      <c r="Y374" s="307">
        <f t="shared" si="174"/>
        <v>1000000000</v>
      </c>
      <c r="Z374" s="307">
        <f t="shared" si="175"/>
        <v>966152889</v>
      </c>
      <c r="AB374" s="333">
        <f t="shared" si="176"/>
        <v>34.44974494070977</v>
      </c>
      <c r="AC374" s="334">
        <f t="shared" si="177"/>
        <v>-23.570640571052127</v>
      </c>
      <c r="AE374" s="333">
        <f t="shared" si="178"/>
        <v>-7.6653172537392269</v>
      </c>
      <c r="AF374" s="334">
        <f t="shared" si="179"/>
        <v>-95.103960661751302</v>
      </c>
      <c r="AH374">
        <f t="shared" si="180"/>
        <v>0</v>
      </c>
      <c r="AI374">
        <f t="shared" si="185"/>
        <v>0</v>
      </c>
    </row>
    <row r="375" spans="1:35" x14ac:dyDescent="0.25">
      <c r="A375" s="335">
        <v>31263</v>
      </c>
      <c r="B375" s="352">
        <f t="shared" si="181"/>
        <v>31.263000000000002</v>
      </c>
      <c r="C375" s="325">
        <f t="shared" si="156"/>
        <v>66.596657169468287</v>
      </c>
      <c r="D375" s="326">
        <f t="shared" si="157"/>
        <v>1.555779993765545</v>
      </c>
      <c r="E375" s="326">
        <f t="shared" si="158"/>
        <v>1.0030820684262864</v>
      </c>
      <c r="F375" s="327">
        <f t="shared" si="159"/>
        <v>7.841139247547331E-2</v>
      </c>
      <c r="G375" s="326">
        <f t="shared" si="160"/>
        <v>1</v>
      </c>
      <c r="H375" s="327">
        <f t="shared" si="161"/>
        <v>0</v>
      </c>
      <c r="I375" s="325">
        <f t="shared" si="162"/>
        <v>10316.007214981108</v>
      </c>
      <c r="J375" s="328">
        <f t="shared" si="163"/>
        <v>1.5706993900653339</v>
      </c>
      <c r="K375" s="336">
        <f t="shared" si="183"/>
        <v>7.3648401384135367</v>
      </c>
      <c r="L375" s="337">
        <f t="shared" si="184"/>
        <v>1.4345953407010559</v>
      </c>
      <c r="M375" s="325">
        <f t="shared" si="164"/>
        <v>1.0393394404246037</v>
      </c>
      <c r="N375" s="337">
        <f t="shared" si="165"/>
        <v>0.27601319328543777</v>
      </c>
      <c r="O375" s="343">
        <f t="shared" si="166"/>
        <v>1.0163675825669685</v>
      </c>
      <c r="P375" s="691">
        <f t="shared" si="167"/>
        <v>0.17970758886419291</v>
      </c>
      <c r="Q375" s="336">
        <f t="shared" si="182"/>
        <v>4.3437705155054633</v>
      </c>
      <c r="R375" s="692">
        <f t="shared" si="168"/>
        <v>0.29588631348646777</v>
      </c>
      <c r="S375" s="329">
        <f t="shared" si="169"/>
        <v>0.992864848907272</v>
      </c>
      <c r="T375" s="330">
        <f t="shared" si="170"/>
        <v>0.1832274244035681</v>
      </c>
      <c r="U375" s="331">
        <f t="shared" si="171"/>
        <v>2.0731254603543228</v>
      </c>
      <c r="V375" s="332">
        <f t="shared" si="172"/>
        <v>-125.41427315021677</v>
      </c>
      <c r="W375" s="334">
        <f t="shared" si="173"/>
        <v>54.585726849783228</v>
      </c>
      <c r="Y375" s="307">
        <f t="shared" si="174"/>
        <v>1000000000</v>
      </c>
      <c r="Z375" s="307">
        <f t="shared" si="175"/>
        <v>977375169</v>
      </c>
      <c r="AB375" s="333">
        <f t="shared" si="176"/>
        <v>34.445109985155952</v>
      </c>
      <c r="AC375" s="334">
        <f t="shared" si="177"/>
        <v>-23.612578695378861</v>
      </c>
      <c r="AE375" s="333">
        <f t="shared" si="178"/>
        <v>-7.7144633284606829</v>
      </c>
      <c r="AF375" s="334">
        <f t="shared" si="179"/>
        <v>-95.145143857162751</v>
      </c>
      <c r="AH375">
        <f t="shared" si="180"/>
        <v>0</v>
      </c>
      <c r="AI375">
        <f t="shared" si="185"/>
        <v>0</v>
      </c>
    </row>
    <row r="376" spans="1:35" x14ac:dyDescent="0.25">
      <c r="A376" s="335">
        <v>31443</v>
      </c>
      <c r="B376" s="352">
        <f t="shared" si="181"/>
        <v>31.443000000000001</v>
      </c>
      <c r="C376" s="325">
        <f t="shared" si="156"/>
        <v>66.980008197418229</v>
      </c>
      <c r="D376" s="326">
        <f t="shared" si="157"/>
        <v>1.5558659441239981</v>
      </c>
      <c r="E376" s="326">
        <f t="shared" si="158"/>
        <v>1.0031176059502884</v>
      </c>
      <c r="F376" s="327">
        <f t="shared" si="159"/>
        <v>7.8860990153074656E-2</v>
      </c>
      <c r="G376" s="326">
        <f t="shared" si="160"/>
        <v>1</v>
      </c>
      <c r="H376" s="327">
        <f t="shared" si="161"/>
        <v>0</v>
      </c>
      <c r="I376" s="325">
        <f t="shared" si="162"/>
        <v>10375.402707457772</v>
      </c>
      <c r="J376" s="328">
        <f t="shared" si="163"/>
        <v>1.5706999449936554</v>
      </c>
      <c r="K376" s="336">
        <f t="shared" si="183"/>
        <v>7.406464405113149</v>
      </c>
      <c r="L376" s="337">
        <f t="shared" si="184"/>
        <v>1.4353655170995416</v>
      </c>
      <c r="M376" s="325">
        <f t="shared" si="164"/>
        <v>1.0397850530672272</v>
      </c>
      <c r="N376" s="337">
        <f t="shared" si="165"/>
        <v>0.2775222302891977</v>
      </c>
      <c r="O376" s="343">
        <f t="shared" si="166"/>
        <v>1.01655506202766</v>
      </c>
      <c r="P376" s="691">
        <f t="shared" si="167"/>
        <v>0.18071995437275304</v>
      </c>
      <c r="Q376" s="336">
        <f t="shared" si="182"/>
        <v>4.3458853267641322</v>
      </c>
      <c r="R376" s="692">
        <f t="shared" si="168"/>
        <v>0.29749263093287698</v>
      </c>
      <c r="S376" s="329">
        <f t="shared" si="169"/>
        <v>0.99278547003541717</v>
      </c>
      <c r="T376" s="330">
        <f t="shared" si="170"/>
        <v>0.18430935216908798</v>
      </c>
      <c r="U376" s="331">
        <f t="shared" si="171"/>
        <v>2.0170091491531372</v>
      </c>
      <c r="V376" s="332">
        <f t="shared" si="172"/>
        <v>-125.53182391708881</v>
      </c>
      <c r="W376" s="334">
        <f t="shared" si="173"/>
        <v>54.468176082911185</v>
      </c>
      <c r="Y376" s="307">
        <f t="shared" si="174"/>
        <v>1000000000</v>
      </c>
      <c r="Z376" s="307">
        <f t="shared" si="175"/>
        <v>988662249</v>
      </c>
      <c r="AB376" s="333">
        <f t="shared" si="176"/>
        <v>34.44047255199267</v>
      </c>
      <c r="AC376" s="334">
        <f t="shared" si="177"/>
        <v>-23.654944084808726</v>
      </c>
      <c r="AE376" s="333">
        <f t="shared" si="178"/>
        <v>-7.763316471051076</v>
      </c>
      <c r="AF376" s="334">
        <f t="shared" si="179"/>
        <v>-95.186298295293639</v>
      </c>
      <c r="AH376">
        <f t="shared" si="180"/>
        <v>0</v>
      </c>
      <c r="AI376">
        <f t="shared" si="185"/>
        <v>0</v>
      </c>
    </row>
    <row r="377" spans="1:35" x14ac:dyDescent="0.25">
      <c r="A377" s="335">
        <v>31623</v>
      </c>
      <c r="B377" s="352">
        <f t="shared" si="181"/>
        <v>31.623000000000001</v>
      </c>
      <c r="C377" s="325">
        <f t="shared" si="156"/>
        <v>67.363359714548835</v>
      </c>
      <c r="D377" s="326">
        <f t="shared" si="157"/>
        <v>1.5559509162301937</v>
      </c>
      <c r="E377" s="326">
        <f t="shared" si="158"/>
        <v>1.0031533462281585</v>
      </c>
      <c r="F377" s="327">
        <f t="shared" si="159"/>
        <v>7.9310555885075212E-2</v>
      </c>
      <c r="G377" s="326">
        <f t="shared" si="160"/>
        <v>1</v>
      </c>
      <c r="H377" s="327">
        <f t="shared" si="161"/>
        <v>0</v>
      </c>
      <c r="I377" s="325">
        <f t="shared" si="162"/>
        <v>10434.798199937593</v>
      </c>
      <c r="J377" s="328">
        <f t="shared" si="163"/>
        <v>1.5707004936046067</v>
      </c>
      <c r="K377" s="336">
        <f t="shared" si="183"/>
        <v>7.4480930160115442</v>
      </c>
      <c r="L377" s="337">
        <f t="shared" si="184"/>
        <v>1.4361270846616772</v>
      </c>
      <c r="M377" s="325">
        <f t="shared" si="164"/>
        <v>1.0402330314689996</v>
      </c>
      <c r="N377" s="337">
        <f t="shared" si="165"/>
        <v>0.27902997098440591</v>
      </c>
      <c r="O377" s="343">
        <f t="shared" si="166"/>
        <v>1.0167435829544502</v>
      </c>
      <c r="P377" s="691">
        <f t="shared" si="167"/>
        <v>0.18173194549984681</v>
      </c>
      <c r="Q377" s="336">
        <f t="shared" si="182"/>
        <v>4.3480112419038202</v>
      </c>
      <c r="R377" s="692">
        <f t="shared" si="168"/>
        <v>0.29909738865784541</v>
      </c>
      <c r="S377" s="329">
        <f t="shared" si="169"/>
        <v>0.99270570550565751</v>
      </c>
      <c r="T377" s="330">
        <f t="shared" si="170"/>
        <v>0.18539174414059867</v>
      </c>
      <c r="U377" s="331">
        <f t="shared" si="171"/>
        <v>1.9611681737186906</v>
      </c>
      <c r="V377" s="332">
        <f t="shared" si="172"/>
        <v>-125.64969776167165</v>
      </c>
      <c r="W377" s="334">
        <f t="shared" si="173"/>
        <v>54.350302238328354</v>
      </c>
      <c r="Y377" s="307">
        <f t="shared" si="174"/>
        <v>1000000000</v>
      </c>
      <c r="Z377" s="307">
        <f t="shared" si="175"/>
        <v>1000014129</v>
      </c>
      <c r="AB377" s="333">
        <f t="shared" si="176"/>
        <v>34.435832338968225</v>
      </c>
      <c r="AC377" s="334">
        <f t="shared" si="177"/>
        <v>-23.697728089260835</v>
      </c>
      <c r="AE377" s="333">
        <f t="shared" si="178"/>
        <v>-7.8118799746042891</v>
      </c>
      <c r="AF377" s="334">
        <f t="shared" si="179"/>
        <v>-95.227425111091023</v>
      </c>
      <c r="AH377">
        <f t="shared" si="180"/>
        <v>0</v>
      </c>
      <c r="AI377">
        <f t="shared" si="185"/>
        <v>0</v>
      </c>
    </row>
    <row r="378" spans="1:35" x14ac:dyDescent="0.25">
      <c r="A378" s="335">
        <v>31807</v>
      </c>
      <c r="B378" s="352">
        <f t="shared" si="181"/>
        <v>31.806999999999999</v>
      </c>
      <c r="C378" s="325">
        <f t="shared" si="156"/>
        <v>67.755230651244204</v>
      </c>
      <c r="D378" s="326">
        <f t="shared" si="157"/>
        <v>1.5560367827911756</v>
      </c>
      <c r="E378" s="326">
        <f t="shared" si="158"/>
        <v>1.0031900902742543</v>
      </c>
      <c r="F378" s="327">
        <f t="shared" si="159"/>
        <v>7.9770078762683078E-2</v>
      </c>
      <c r="G378" s="326">
        <f t="shared" si="160"/>
        <v>1</v>
      </c>
      <c r="H378" s="327">
        <f t="shared" si="161"/>
        <v>0</v>
      </c>
      <c r="I378" s="325">
        <f t="shared" si="162"/>
        <v>10495.51359225351</v>
      </c>
      <c r="J378" s="328">
        <f t="shared" si="163"/>
        <v>1.5707010479890791</v>
      </c>
      <c r="K378" s="336">
        <f t="shared" si="183"/>
        <v>7.4906511218160201</v>
      </c>
      <c r="L378" s="337">
        <f t="shared" si="184"/>
        <v>1.4368968265593804</v>
      </c>
      <c r="M378" s="325">
        <f t="shared" si="164"/>
        <v>1.0406934069671128</v>
      </c>
      <c r="N378" s="337">
        <f t="shared" si="165"/>
        <v>0.2805698717996607</v>
      </c>
      <c r="O378" s="343">
        <f t="shared" si="166"/>
        <v>1.0169373690708499</v>
      </c>
      <c r="P378" s="691">
        <f t="shared" si="167"/>
        <v>0.18276603642450207</v>
      </c>
      <c r="Q378" s="336">
        <f t="shared" si="182"/>
        <v>4.3501958594046037</v>
      </c>
      <c r="R378" s="692">
        <f t="shared" si="168"/>
        <v>0.30073618946352393</v>
      </c>
      <c r="S378" s="329">
        <f t="shared" si="169"/>
        <v>0.9926237710930943</v>
      </c>
      <c r="T378" s="330">
        <f t="shared" si="170"/>
        <v>0.1864986718097956</v>
      </c>
      <c r="U378" s="331">
        <f t="shared" si="171"/>
        <v>1.9043672499115847</v>
      </c>
      <c r="V378" s="332">
        <f t="shared" si="172"/>
        <v>-125.77051705898296</v>
      </c>
      <c r="W378" s="334">
        <f t="shared" si="173"/>
        <v>54.229482941017039</v>
      </c>
      <c r="Y378" s="307">
        <f t="shared" si="174"/>
        <v>1000000000</v>
      </c>
      <c r="Z378" s="307">
        <f t="shared" si="175"/>
        <v>1011685249</v>
      </c>
      <c r="AB378" s="333">
        <f t="shared" si="176"/>
        <v>34.431085832525817</v>
      </c>
      <c r="AC378" s="334">
        <f t="shared" si="177"/>
        <v>-23.741886708731851</v>
      </c>
      <c r="AE378" s="333">
        <f t="shared" si="178"/>
        <v>-7.8612266724241504</v>
      </c>
      <c r="AF378" s="334">
        <f t="shared" si="179"/>
        <v>-95.269438464879215</v>
      </c>
      <c r="AH378">
        <f t="shared" si="180"/>
        <v>0</v>
      </c>
      <c r="AI378">
        <f t="shared" si="185"/>
        <v>0</v>
      </c>
    </row>
    <row r="379" spans="1:35" x14ac:dyDescent="0.25">
      <c r="A379" s="335">
        <v>31991</v>
      </c>
      <c r="B379" s="352">
        <f t="shared" si="181"/>
        <v>31.991</v>
      </c>
      <c r="C379" s="325">
        <f t="shared" si="156"/>
        <v>68.147102081758035</v>
      </c>
      <c r="D379" s="326">
        <f t="shared" si="157"/>
        <v>1.5561216618228293</v>
      </c>
      <c r="E379" s="326">
        <f t="shared" si="158"/>
        <v>1.0032270461397053</v>
      </c>
      <c r="F379" s="327">
        <f t="shared" si="159"/>
        <v>8.022956788243131E-2</v>
      </c>
      <c r="G379" s="326">
        <f t="shared" si="160"/>
        <v>1</v>
      </c>
      <c r="H379" s="327">
        <f t="shared" si="161"/>
        <v>0</v>
      </c>
      <c r="I379" s="325">
        <f t="shared" si="162"/>
        <v>10556.228984572615</v>
      </c>
      <c r="J379" s="328">
        <f t="shared" si="163"/>
        <v>1.5707015959963362</v>
      </c>
      <c r="K379" s="336">
        <f t="shared" si="183"/>
        <v>7.5332136157025156</v>
      </c>
      <c r="L379" s="337">
        <f t="shared" si="184"/>
        <v>1.4376578708536436</v>
      </c>
      <c r="M379" s="325">
        <f t="shared" si="164"/>
        <v>1.0411562480699867</v>
      </c>
      <c r="N379" s="337">
        <f t="shared" si="165"/>
        <v>0.28210840714924079</v>
      </c>
      <c r="O379" s="343">
        <f t="shared" si="166"/>
        <v>1.0171322422281179</v>
      </c>
      <c r="P379" s="691">
        <f t="shared" si="167"/>
        <v>0.18379973220961285</v>
      </c>
      <c r="Q379" s="336">
        <f t="shared" si="182"/>
        <v>4.3523920453211593</v>
      </c>
      <c r="R379" s="692">
        <f t="shared" si="168"/>
        <v>0.30237334811395827</v>
      </c>
      <c r="S379" s="329">
        <f t="shared" si="169"/>
        <v>0.99254143627857061</v>
      </c>
      <c r="T379" s="330">
        <f t="shared" si="170"/>
        <v>0.18760609012311369</v>
      </c>
      <c r="U379" s="331">
        <f t="shared" si="171"/>
        <v>1.847846758507725</v>
      </c>
      <c r="V379" s="332">
        <f t="shared" si="172"/>
        <v>-125.89165810747686</v>
      </c>
      <c r="W379" s="334">
        <f t="shared" si="173"/>
        <v>54.108341892523143</v>
      </c>
      <c r="Y379" s="307">
        <f t="shared" si="174"/>
        <v>1000000000</v>
      </c>
      <c r="Z379" s="307">
        <f t="shared" si="175"/>
        <v>1023424081</v>
      </c>
      <c r="AB379" s="333">
        <f t="shared" si="176"/>
        <v>34.426335813872861</v>
      </c>
      <c r="AC379" s="334">
        <f t="shared" si="177"/>
        <v>-23.786465063364595</v>
      </c>
      <c r="AE379" s="333">
        <f t="shared" si="178"/>
        <v>-7.9102774969885727</v>
      </c>
      <c r="AF379" s="334">
        <f t="shared" si="179"/>
        <v>-95.311425283424981</v>
      </c>
      <c r="AH379">
        <f t="shared" si="180"/>
        <v>0</v>
      </c>
      <c r="AI379">
        <f t="shared" si="185"/>
        <v>0</v>
      </c>
    </row>
    <row r="380" spans="1:35" x14ac:dyDescent="0.25">
      <c r="A380" s="335">
        <v>32175</v>
      </c>
      <c r="B380" s="352">
        <f t="shared" si="181"/>
        <v>32.174999999999997</v>
      </c>
      <c r="C380" s="325">
        <f t="shared" si="156"/>
        <v>68.538973997620104</v>
      </c>
      <c r="D380" s="326">
        <f t="shared" si="157"/>
        <v>1.5562055702625324</v>
      </c>
      <c r="E380" s="326">
        <f t="shared" si="158"/>
        <v>1.0032642138011041</v>
      </c>
      <c r="F380" s="327">
        <f t="shared" si="159"/>
        <v>8.0689023054037023E-2</v>
      </c>
      <c r="G380" s="326">
        <f t="shared" si="160"/>
        <v>1</v>
      </c>
      <c r="H380" s="327">
        <f t="shared" si="161"/>
        <v>0</v>
      </c>
      <c r="I380" s="325">
        <f t="shared" si="162"/>
        <v>10616.944376894853</v>
      </c>
      <c r="J380" s="328">
        <f t="shared" si="163"/>
        <v>1.570702137735787</v>
      </c>
      <c r="K380" s="336">
        <f t="shared" si="183"/>
        <v>7.5757804237112421</v>
      </c>
      <c r="L380" s="337">
        <f t="shared" si="184"/>
        <v>1.4384103632657035</v>
      </c>
      <c r="M380" s="325">
        <f t="shared" si="164"/>
        <v>1.0416215514908713</v>
      </c>
      <c r="N380" s="337">
        <f t="shared" si="165"/>
        <v>0.28364557157453224</v>
      </c>
      <c r="O380" s="343">
        <f t="shared" si="166"/>
        <v>1.0173282018015735</v>
      </c>
      <c r="P380" s="691">
        <f t="shared" si="167"/>
        <v>0.18483303087382444</v>
      </c>
      <c r="Q380" s="336">
        <f t="shared" si="182"/>
        <v>4.3545997821517357</v>
      </c>
      <c r="R380" s="692">
        <f t="shared" si="168"/>
        <v>0.30400885844051789</v>
      </c>
      <c r="S380" s="329">
        <f t="shared" si="169"/>
        <v>0.99245870238176914</v>
      </c>
      <c r="T380" s="330">
        <f t="shared" si="170"/>
        <v>0.18871400189908433</v>
      </c>
      <c r="U380" s="331">
        <f t="shared" si="171"/>
        <v>1.7916031238203203</v>
      </c>
      <c r="V380" s="332">
        <f t="shared" si="172"/>
        <v>-126.0131131543741</v>
      </c>
      <c r="W380" s="334">
        <f t="shared" si="173"/>
        <v>53.986886845625904</v>
      </c>
      <c r="Y380" s="307">
        <f t="shared" si="174"/>
        <v>1000000000</v>
      </c>
      <c r="Z380" s="307">
        <f t="shared" si="175"/>
        <v>1035230625</v>
      </c>
      <c r="AB380" s="333">
        <f t="shared" si="176"/>
        <v>34.421581991143249</v>
      </c>
      <c r="AC380" s="334">
        <f t="shared" si="177"/>
        <v>-23.831454497460339</v>
      </c>
      <c r="AE380" s="333">
        <f t="shared" si="178"/>
        <v>-7.9590357892122494</v>
      </c>
      <c r="AF380" s="334">
        <f t="shared" si="179"/>
        <v>-95.353386709560937</v>
      </c>
      <c r="AH380">
        <f t="shared" si="180"/>
        <v>0</v>
      </c>
      <c r="AI380">
        <f t="shared" si="185"/>
        <v>0</v>
      </c>
    </row>
    <row r="381" spans="1:35" x14ac:dyDescent="0.25">
      <c r="A381" s="335">
        <v>32359</v>
      </c>
      <c r="B381" s="352">
        <f t="shared" si="181"/>
        <v>32.359000000000002</v>
      </c>
      <c r="C381" s="325">
        <f t="shared" si="156"/>
        <v>68.930846390552801</v>
      </c>
      <c r="D381" s="326">
        <f t="shared" si="157"/>
        <v>1.5562885246625615</v>
      </c>
      <c r="E381" s="326">
        <f t="shared" si="158"/>
        <v>1.0033015932349121</v>
      </c>
      <c r="F381" s="327">
        <f t="shared" si="159"/>
        <v>8.1148444087302832E-2</v>
      </c>
      <c r="G381" s="326">
        <f t="shared" si="160"/>
        <v>1</v>
      </c>
      <c r="H381" s="327">
        <f t="shared" si="161"/>
        <v>0</v>
      </c>
      <c r="I381" s="325">
        <f t="shared" si="162"/>
        <v>10677.659769220172</v>
      </c>
      <c r="J381" s="328">
        <f t="shared" si="163"/>
        <v>1.5707026733143516</v>
      </c>
      <c r="K381" s="336">
        <f t="shared" si="183"/>
        <v>7.6183514735279667</v>
      </c>
      <c r="L381" s="337">
        <f t="shared" si="184"/>
        <v>1.4391544462988963</v>
      </c>
      <c r="M381" s="325">
        <f t="shared" si="164"/>
        <v>1.0420893139314171</v>
      </c>
      <c r="N381" s="337">
        <f t="shared" si="165"/>
        <v>0.28518135965255897</v>
      </c>
      <c r="O381" s="343">
        <f t="shared" si="166"/>
        <v>1.0175252471635361</v>
      </c>
      <c r="P381" s="691">
        <f t="shared" si="167"/>
        <v>0.18586593044069633</v>
      </c>
      <c r="Q381" s="336">
        <f t="shared" si="182"/>
        <v>4.356819052338099</v>
      </c>
      <c r="R381" s="692">
        <f t="shared" si="168"/>
        <v>0.30564271432200274</v>
      </c>
      <c r="S381" s="329">
        <f t="shared" si="169"/>
        <v>0.99237557073051763</v>
      </c>
      <c r="T381" s="330">
        <f t="shared" si="170"/>
        <v>0.18982240995563809</v>
      </c>
      <c r="U381" s="331">
        <f t="shared" si="171"/>
        <v>1.7356328368804521</v>
      </c>
      <c r="V381" s="332">
        <f t="shared" si="172"/>
        <v>-126.1348746134987</v>
      </c>
      <c r="W381" s="334">
        <f t="shared" si="173"/>
        <v>53.865125386501305</v>
      </c>
      <c r="Y381" s="307">
        <f t="shared" si="174"/>
        <v>1000000000</v>
      </c>
      <c r="Z381" s="307">
        <f t="shared" si="175"/>
        <v>1047104881</v>
      </c>
      <c r="AB381" s="333">
        <f t="shared" si="176"/>
        <v>34.416824082234321</v>
      </c>
      <c r="AC381" s="334">
        <f t="shared" si="177"/>
        <v>-23.87684654159175</v>
      </c>
      <c r="AE381" s="333">
        <f t="shared" si="178"/>
        <v>-8.0075048331663154</v>
      </c>
      <c r="AF381" s="334">
        <f t="shared" si="179"/>
        <v>-95.395323864015708</v>
      </c>
      <c r="AH381">
        <f t="shared" si="180"/>
        <v>0</v>
      </c>
      <c r="AI381">
        <f t="shared" si="185"/>
        <v>0</v>
      </c>
    </row>
    <row r="382" spans="1:35" x14ac:dyDescent="0.25">
      <c r="A382" s="335">
        <v>32547.5</v>
      </c>
      <c r="B382" s="352">
        <f t="shared" si="181"/>
        <v>32.547499999999999</v>
      </c>
      <c r="C382" s="325">
        <f t="shared" si="156"/>
        <v>69.332303105439834</v>
      </c>
      <c r="D382" s="326">
        <f t="shared" si="157"/>
        <v>1.5563725354257609</v>
      </c>
      <c r="E382" s="326">
        <f t="shared" si="158"/>
        <v>1.0033401064194782</v>
      </c>
      <c r="F382" s="327">
        <f t="shared" si="159"/>
        <v>8.1619065361400012E-2</v>
      </c>
      <c r="G382" s="326">
        <f t="shared" si="160"/>
        <v>1</v>
      </c>
      <c r="H382" s="327">
        <f t="shared" si="161"/>
        <v>0</v>
      </c>
      <c r="I382" s="325">
        <f t="shared" si="162"/>
        <v>10739.860048860935</v>
      </c>
      <c r="J382" s="328">
        <f t="shared" si="163"/>
        <v>1.570703215711801</v>
      </c>
      <c r="K382" s="336">
        <f t="shared" si="183"/>
        <v>7.6619679879192999</v>
      </c>
      <c r="L382" s="337">
        <f t="shared" si="184"/>
        <v>1.4399081523113926</v>
      </c>
      <c r="M382" s="325">
        <f t="shared" si="164"/>
        <v>1.0425710627176081</v>
      </c>
      <c r="N382" s="337">
        <f t="shared" si="165"/>
        <v>0.28675327488337038</v>
      </c>
      <c r="O382" s="343">
        <f t="shared" si="166"/>
        <v>1.0177282368554696</v>
      </c>
      <c r="P382" s="691">
        <f t="shared" si="167"/>
        <v>0.18692367521972997</v>
      </c>
      <c r="Q382" s="336">
        <f t="shared" si="182"/>
        <v>4.3591045396428303</v>
      </c>
      <c r="R382" s="692">
        <f t="shared" si="168"/>
        <v>0.30731480665313776</v>
      </c>
      <c r="S382" s="329">
        <f t="shared" si="169"/>
        <v>0.99228999490002912</v>
      </c>
      <c r="T382" s="330">
        <f t="shared" si="170"/>
        <v>0.1909584433981962</v>
      </c>
      <c r="U382" s="331">
        <f t="shared" si="171"/>
        <v>1.6785735686620227</v>
      </c>
      <c r="V382" s="332">
        <f t="shared" si="172"/>
        <v>-126.25992391863848</v>
      </c>
      <c r="W382" s="334">
        <f t="shared" si="173"/>
        <v>53.740076081361522</v>
      </c>
      <c r="Y382" s="307">
        <f t="shared" si="174"/>
        <v>1000000000</v>
      </c>
      <c r="Z382" s="307">
        <f t="shared" si="175"/>
        <v>1059339756.25</v>
      </c>
      <c r="AB382" s="333">
        <f t="shared" si="176"/>
        <v>34.411945289130337</v>
      </c>
      <c r="AC382" s="334">
        <f t="shared" si="177"/>
        <v>-23.923757553698177</v>
      </c>
      <c r="AE382" s="333">
        <f t="shared" si="178"/>
        <v>-8.0568626904296163</v>
      </c>
      <c r="AF382" s="334">
        <f t="shared" si="179"/>
        <v>-95.438262635119244</v>
      </c>
      <c r="AH382">
        <f t="shared" si="180"/>
        <v>0</v>
      </c>
      <c r="AI382">
        <f t="shared" si="185"/>
        <v>0</v>
      </c>
    </row>
    <row r="383" spans="1:35" x14ac:dyDescent="0.25">
      <c r="A383" s="335">
        <v>32736</v>
      </c>
      <c r="B383" s="352">
        <f t="shared" si="181"/>
        <v>32.735999999999997</v>
      </c>
      <c r="C383" s="325">
        <f t="shared" si="156"/>
        <v>69.733760304026802</v>
      </c>
      <c r="D383" s="326">
        <f t="shared" si="157"/>
        <v>1.5564555788897567</v>
      </c>
      <c r="E383" s="326">
        <f t="shared" si="158"/>
        <v>1.0033788418111209</v>
      </c>
      <c r="F383" s="327">
        <f t="shared" si="159"/>
        <v>8.2089650403094724E-2</v>
      </c>
      <c r="G383" s="326">
        <f t="shared" si="160"/>
        <v>1</v>
      </c>
      <c r="H383" s="327">
        <f t="shared" si="161"/>
        <v>0</v>
      </c>
      <c r="I383" s="325">
        <f t="shared" si="162"/>
        <v>10802.060328504822</v>
      </c>
      <c r="J383" s="328">
        <f t="shared" si="163"/>
        <v>1.5707037518627986</v>
      </c>
      <c r="K383" s="336">
        <f t="shared" si="183"/>
        <v>7.7055888055902706</v>
      </c>
      <c r="L383" s="337">
        <f t="shared" si="184"/>
        <v>1.4406533253855773</v>
      </c>
      <c r="M383" s="325">
        <f t="shared" si="164"/>
        <v>1.0430553852275466</v>
      </c>
      <c r="N383" s="337">
        <f t="shared" si="165"/>
        <v>0.28832373421504637</v>
      </c>
      <c r="O383" s="343">
        <f t="shared" si="166"/>
        <v>1.0179323647513265</v>
      </c>
      <c r="P383" s="691">
        <f t="shared" si="167"/>
        <v>0.18798099695821749</v>
      </c>
      <c r="Q383" s="336">
        <f t="shared" si="182"/>
        <v>4.361402093848338</v>
      </c>
      <c r="R383" s="692">
        <f t="shared" si="168"/>
        <v>0.30898514977273112</v>
      </c>
      <c r="S383" s="329">
        <f t="shared" si="169"/>
        <v>0.99220400446927026</v>
      </c>
      <c r="T383" s="330">
        <f t="shared" si="170"/>
        <v>0.19209500367801502</v>
      </c>
      <c r="U383" s="331">
        <f t="shared" si="171"/>
        <v>1.6217939342196086</v>
      </c>
      <c r="V383" s="332">
        <f t="shared" si="172"/>
        <v>-126.38527920571188</v>
      </c>
      <c r="W383" s="334">
        <f t="shared" si="173"/>
        <v>53.614720794288118</v>
      </c>
      <c r="Y383" s="307">
        <f t="shared" si="174"/>
        <v>1000000000</v>
      </c>
      <c r="Z383" s="307">
        <f t="shared" si="175"/>
        <v>1071645696</v>
      </c>
      <c r="AB383" s="333">
        <f t="shared" si="176"/>
        <v>34.40706163819322</v>
      </c>
      <c r="AC383" s="334">
        <f t="shared" si="177"/>
        <v>-23.971073692385989</v>
      </c>
      <c r="AE383" s="333">
        <f t="shared" si="178"/>
        <v>-8.1059237786864031</v>
      </c>
      <c r="AF383" s="334">
        <f t="shared" si="179"/>
        <v>-95.481178245576103</v>
      </c>
      <c r="AH383">
        <f t="shared" si="180"/>
        <v>0</v>
      </c>
      <c r="AI383">
        <f t="shared" si="185"/>
        <v>0</v>
      </c>
    </row>
    <row r="384" spans="1:35" x14ac:dyDescent="0.25">
      <c r="A384" s="335">
        <v>32924.5</v>
      </c>
      <c r="B384" s="352">
        <f t="shared" si="181"/>
        <v>32.924500000000002</v>
      </c>
      <c r="C384" s="325">
        <f t="shared" si="156"/>
        <v>70.135217978007518</v>
      </c>
      <c r="D384" s="326">
        <f t="shared" si="157"/>
        <v>1.556537671664008</v>
      </c>
      <c r="E384" s="326">
        <f t="shared" si="158"/>
        <v>1.0034177993841067</v>
      </c>
      <c r="F384" s="327">
        <f t="shared" si="159"/>
        <v>8.2560199008172783E-2</v>
      </c>
      <c r="G384" s="326">
        <f t="shared" si="160"/>
        <v>1</v>
      </c>
      <c r="H384" s="327">
        <f t="shared" si="161"/>
        <v>0</v>
      </c>
      <c r="I384" s="325">
        <f t="shared" si="162"/>
        <v>10864.260608151775</v>
      </c>
      <c r="J384" s="328">
        <f t="shared" si="163"/>
        <v>1.570704281874632</v>
      </c>
      <c r="K384" s="336">
        <f t="shared" si="183"/>
        <v>7.7492138538705735</v>
      </c>
      <c r="L384" s="337">
        <f t="shared" si="184"/>
        <v>1.4413901087981531</v>
      </c>
      <c r="M384" s="325">
        <f t="shared" si="164"/>
        <v>1.0435422778777297</v>
      </c>
      <c r="N384" s="337">
        <f t="shared" si="165"/>
        <v>0.28989273193352677</v>
      </c>
      <c r="O384" s="343">
        <f t="shared" si="166"/>
        <v>1.0181376301665064</v>
      </c>
      <c r="P384" s="691">
        <f t="shared" si="167"/>
        <v>0.18903789354729919</v>
      </c>
      <c r="Q384" s="336">
        <f t="shared" si="182"/>
        <v>4.3637116958959812</v>
      </c>
      <c r="R384" s="692">
        <f t="shared" si="168"/>
        <v>0.31065373725438472</v>
      </c>
      <c r="S384" s="329">
        <f t="shared" si="169"/>
        <v>0.99211760089254464</v>
      </c>
      <c r="T384" s="330">
        <f t="shared" si="170"/>
        <v>0.19323209382283837</v>
      </c>
      <c r="U384" s="331">
        <f t="shared" si="171"/>
        <v>1.5652903681904793</v>
      </c>
      <c r="V384" s="332">
        <f t="shared" si="172"/>
        <v>-126.51093283377702</v>
      </c>
      <c r="W384" s="334">
        <f t="shared" si="173"/>
        <v>53.489067166222981</v>
      </c>
      <c r="Y384" s="307">
        <f t="shared" si="174"/>
        <v>1000000000</v>
      </c>
      <c r="Z384" s="307">
        <f t="shared" si="175"/>
        <v>1084022700.25</v>
      </c>
      <c r="AB384" s="333">
        <f t="shared" si="176"/>
        <v>34.402172855926665</v>
      </c>
      <c r="AC384" s="334">
        <f t="shared" si="177"/>
        <v>-24.018786427260387</v>
      </c>
      <c r="AE384" s="333">
        <f t="shared" si="178"/>
        <v>-8.1546914516521483</v>
      </c>
      <c r="AF384" s="334">
        <f t="shared" si="179"/>
        <v>-95.52407183221581</v>
      </c>
      <c r="AH384">
        <f t="shared" si="180"/>
        <v>0</v>
      </c>
      <c r="AI384">
        <f t="shared" si="185"/>
        <v>0</v>
      </c>
    </row>
    <row r="385" spans="1:35" x14ac:dyDescent="0.25">
      <c r="A385" s="335">
        <v>33113</v>
      </c>
      <c r="B385" s="352">
        <f t="shared" si="181"/>
        <v>33.113</v>
      </c>
      <c r="C385" s="325">
        <f t="shared" si="156"/>
        <v>70.536676119264925</v>
      </c>
      <c r="D385" s="326">
        <f t="shared" si="157"/>
        <v>1.5566188299798962</v>
      </c>
      <c r="E385" s="326">
        <f t="shared" si="158"/>
        <v>1.0034569791125578</v>
      </c>
      <c r="F385" s="327">
        <f t="shared" si="159"/>
        <v>8.3030710972516186E-2</v>
      </c>
      <c r="G385" s="326">
        <f t="shared" si="160"/>
        <v>1</v>
      </c>
      <c r="H385" s="327">
        <f t="shared" si="161"/>
        <v>0</v>
      </c>
      <c r="I385" s="325">
        <f t="shared" si="162"/>
        <v>10926.460887801748</v>
      </c>
      <c r="J385" s="328">
        <f t="shared" si="163"/>
        <v>1.5707048058521444</v>
      </c>
      <c r="K385" s="336">
        <f t="shared" si="183"/>
        <v>7.7928430617101956</v>
      </c>
      <c r="L385" s="337">
        <f t="shared" si="184"/>
        <v>1.4421186426541144</v>
      </c>
      <c r="M385" s="325">
        <f t="shared" si="164"/>
        <v>1.0440317370723404</v>
      </c>
      <c r="N385" s="337">
        <f t="shared" si="165"/>
        <v>0.29146026236416744</v>
      </c>
      <c r="O385" s="343">
        <f t="shared" si="166"/>
        <v>1.0183440324131472</v>
      </c>
      <c r="P385" s="691">
        <f t="shared" si="167"/>
        <v>0.19009436288361006</v>
      </c>
      <c r="Q385" s="336">
        <f t="shared" si="182"/>
        <v>4.3660333266676163</v>
      </c>
      <c r="R385" s="692">
        <f t="shared" si="168"/>
        <v>0.31232056272401859</v>
      </c>
      <c r="S385" s="329">
        <f t="shared" si="169"/>
        <v>0.99203078563316704</v>
      </c>
      <c r="T385" s="330">
        <f t="shared" si="170"/>
        <v>0.19436971685969831</v>
      </c>
      <c r="U385" s="331">
        <f t="shared" si="171"/>
        <v>1.5090593718266647</v>
      </c>
      <c r="V385" s="332">
        <f t="shared" si="172"/>
        <v>-126.63687732670982</v>
      </c>
      <c r="W385" s="334">
        <f t="shared" si="173"/>
        <v>53.363122673290178</v>
      </c>
      <c r="Y385" s="307">
        <f t="shared" si="174"/>
        <v>1000000000</v>
      </c>
      <c r="Z385" s="307">
        <f t="shared" si="175"/>
        <v>1096470769</v>
      </c>
      <c r="AB385" s="333">
        <f t="shared" si="176"/>
        <v>34.397278678237832</v>
      </c>
      <c r="AC385" s="334">
        <f t="shared" si="177"/>
        <v>-24.066887411770434</v>
      </c>
      <c r="AE385" s="333">
        <f t="shared" si="178"/>
        <v>-8.2031690059408024</v>
      </c>
      <c r="AF385" s="334">
        <f t="shared" si="179"/>
        <v>-95.566944510159217</v>
      </c>
      <c r="AH385">
        <f t="shared" si="180"/>
        <v>0</v>
      </c>
      <c r="AI385">
        <f t="shared" si="185"/>
        <v>0</v>
      </c>
    </row>
    <row r="386" spans="1:35" x14ac:dyDescent="0.25">
      <c r="A386" s="335">
        <v>33305.75</v>
      </c>
      <c r="B386" s="352">
        <f t="shared" si="181"/>
        <v>33.305750000000003</v>
      </c>
      <c r="C386" s="325">
        <f t="shared" si="156"/>
        <v>70.947186178959797</v>
      </c>
      <c r="D386" s="326">
        <f t="shared" si="157"/>
        <v>1.5567008683520041</v>
      </c>
      <c r="E386" s="326">
        <f t="shared" si="158"/>
        <v>1.0034972719016224</v>
      </c>
      <c r="F386" s="327">
        <f t="shared" si="159"/>
        <v>8.3511793195016573E-2</v>
      </c>
      <c r="G386" s="326">
        <f t="shared" si="160"/>
        <v>1</v>
      </c>
      <c r="H386" s="327">
        <f t="shared" si="161"/>
        <v>0</v>
      </c>
      <c r="I386" s="325">
        <f t="shared" si="162"/>
        <v>10990.063561027799</v>
      </c>
      <c r="J386" s="328">
        <f t="shared" si="163"/>
        <v>1.5707053355102851</v>
      </c>
      <c r="K386" s="336">
        <f t="shared" si="183"/>
        <v>7.8374601808734186</v>
      </c>
      <c r="L386" s="337">
        <f t="shared" si="184"/>
        <v>1.4428552144253732</v>
      </c>
      <c r="M386" s="325">
        <f t="shared" si="164"/>
        <v>1.0445348820563674</v>
      </c>
      <c r="N386" s="337">
        <f t="shared" si="165"/>
        <v>0.29306161183816754</v>
      </c>
      <c r="O386" s="343">
        <f t="shared" si="166"/>
        <v>1.01855626313892</v>
      </c>
      <c r="P386" s="691">
        <f t="shared" si="167"/>
        <v>0.19117420782384317</v>
      </c>
      <c r="Q386" s="336">
        <f t="shared" si="182"/>
        <v>4.3684197205081592</v>
      </c>
      <c r="R386" s="692">
        <f t="shared" si="168"/>
        <v>0.31402314050281127</v>
      </c>
      <c r="S386" s="329">
        <f t="shared" si="169"/>
        <v>0.99194158882432237</v>
      </c>
      <c r="T386" s="330">
        <f t="shared" si="170"/>
        <v>0.19553354342495546</v>
      </c>
      <c r="U386" s="331">
        <f t="shared" si="171"/>
        <v>1.4518388479466868</v>
      </c>
      <c r="V386" s="332">
        <f t="shared" si="172"/>
        <v>-126.76595457183741</v>
      </c>
      <c r="W386" s="334">
        <f t="shared" si="173"/>
        <v>53.234045428162588</v>
      </c>
      <c r="Y386" s="307">
        <f t="shared" si="174"/>
        <v>1000000000</v>
      </c>
      <c r="Z386" s="307">
        <f t="shared" si="175"/>
        <v>1109272983.0625</v>
      </c>
      <c r="AB386" s="333">
        <f t="shared" si="176"/>
        <v>34.392268309485253</v>
      </c>
      <c r="AC386" s="334">
        <f t="shared" si="177"/>
        <v>-24.116465871587227</v>
      </c>
      <c r="AE386" s="333">
        <f t="shared" si="178"/>
        <v>-8.252442927463429</v>
      </c>
      <c r="AF386" s="334">
        <f t="shared" si="179"/>
        <v>-95.61076333201558</v>
      </c>
      <c r="AH386">
        <f t="shared" si="180"/>
        <v>0</v>
      </c>
      <c r="AI386">
        <f t="shared" si="185"/>
        <v>0</v>
      </c>
    </row>
    <row r="387" spans="1:35" x14ac:dyDescent="0.25">
      <c r="A387" s="335">
        <v>33498.5</v>
      </c>
      <c r="B387" s="352">
        <f t="shared" si="181"/>
        <v>33.4985</v>
      </c>
      <c r="C387" s="325">
        <f t="shared" si="156"/>
        <v>71.357696710656199</v>
      </c>
      <c r="D387" s="326">
        <f t="shared" si="157"/>
        <v>1.5567819628148203</v>
      </c>
      <c r="E387" s="326">
        <f t="shared" si="158"/>
        <v>1.0035377969215193</v>
      </c>
      <c r="F387" s="327">
        <f t="shared" si="159"/>
        <v>8.39928366745675E-2</v>
      </c>
      <c r="G387" s="326">
        <f t="shared" si="160"/>
        <v>1</v>
      </c>
      <c r="H387" s="327">
        <f t="shared" si="161"/>
        <v>0</v>
      </c>
      <c r="I387" s="325">
        <f t="shared" si="162"/>
        <v>11053.666234256894</v>
      </c>
      <c r="J387" s="328">
        <f t="shared" si="163"/>
        <v>1.5707058590731315</v>
      </c>
      <c r="K387" s="336">
        <f t="shared" si="183"/>
        <v>7.882081504016182</v>
      </c>
      <c r="L387" s="337">
        <f t="shared" si="184"/>
        <v>1.4435834469617272</v>
      </c>
      <c r="M387" s="325">
        <f t="shared" si="164"/>
        <v>1.0450407029790219</v>
      </c>
      <c r="N387" s="337">
        <f t="shared" si="165"/>
        <v>0.29466141523994432</v>
      </c>
      <c r="O387" s="343">
        <f t="shared" si="166"/>
        <v>1.0187696810719449</v>
      </c>
      <c r="P387" s="691">
        <f t="shared" si="167"/>
        <v>0.19225360159759813</v>
      </c>
      <c r="Q387" s="336">
        <f t="shared" si="182"/>
        <v>4.3708186509786042</v>
      </c>
      <c r="R387" s="692">
        <f t="shared" si="168"/>
        <v>0.31572386260746088</v>
      </c>
      <c r="S387" s="329">
        <f t="shared" si="169"/>
        <v>0.99185196468307313</v>
      </c>
      <c r="T387" s="330">
        <f t="shared" si="170"/>
        <v>0.1966979335819177</v>
      </c>
      <c r="U387" s="331">
        <f t="shared" si="171"/>
        <v>1.3948961304588625</v>
      </c>
      <c r="V387" s="332">
        <f t="shared" si="172"/>
        <v>-126.8953206441353</v>
      </c>
      <c r="W387" s="334">
        <f t="shared" si="173"/>
        <v>53.104679355864704</v>
      </c>
      <c r="Y387" s="307">
        <f t="shared" si="174"/>
        <v>1000000000</v>
      </c>
      <c r="Z387" s="307">
        <f t="shared" si="175"/>
        <v>1122149502.25</v>
      </c>
      <c r="AB387" s="333">
        <f t="shared" si="176"/>
        <v>34.387251769548314</v>
      </c>
      <c r="AC387" s="334">
        <f t="shared" si="177"/>
        <v>-24.166433201721023</v>
      </c>
      <c r="AE387" s="333">
        <f t="shared" si="178"/>
        <v>-8.3014202949688283</v>
      </c>
      <c r="AF387" s="334">
        <f t="shared" si="179"/>
        <v>-95.654562583086843</v>
      </c>
      <c r="AH387">
        <f t="shared" si="180"/>
        <v>0</v>
      </c>
      <c r="AI387">
        <f t="shared" si="185"/>
        <v>0</v>
      </c>
    </row>
    <row r="388" spans="1:35" x14ac:dyDescent="0.25">
      <c r="A388" s="335">
        <v>33691.25</v>
      </c>
      <c r="B388" s="352">
        <f t="shared" si="181"/>
        <v>33.691249999999997</v>
      </c>
      <c r="C388" s="325">
        <f t="shared" si="156"/>
        <v>71.768207706254671</v>
      </c>
      <c r="D388" s="326">
        <f t="shared" si="157"/>
        <v>1.5568621295646285</v>
      </c>
      <c r="E388" s="326">
        <f t="shared" si="158"/>
        <v>1.0035785541441162</v>
      </c>
      <c r="F388" s="327">
        <f t="shared" si="159"/>
        <v>8.447384119324626E-2</v>
      </c>
      <c r="G388" s="326">
        <f t="shared" si="160"/>
        <v>1</v>
      </c>
      <c r="H388" s="327">
        <f t="shared" si="161"/>
        <v>0</v>
      </c>
      <c r="I388" s="325">
        <f t="shared" si="162"/>
        <v>11117.268907488988</v>
      </c>
      <c r="J388" s="328">
        <f t="shared" si="163"/>
        <v>1.5707063766452987</v>
      </c>
      <c r="K388" s="336">
        <f t="shared" si="183"/>
        <v>7.9267069601428775</v>
      </c>
      <c r="L388" s="337">
        <f t="shared" si="184"/>
        <v>1.4443034803278521</v>
      </c>
      <c r="M388" s="325">
        <f t="shared" si="164"/>
        <v>1.0455491959565679</v>
      </c>
      <c r="N388" s="337">
        <f t="shared" si="165"/>
        <v>0.2962596666303795</v>
      </c>
      <c r="O388" s="343">
        <f t="shared" si="166"/>
        <v>1.018984285466269</v>
      </c>
      <c r="P388" s="691">
        <f t="shared" si="167"/>
        <v>0.19333254197396407</v>
      </c>
      <c r="Q388" s="336">
        <f t="shared" si="182"/>
        <v>4.3732300974497536</v>
      </c>
      <c r="R388" s="692">
        <f t="shared" si="168"/>
        <v>0.31742272239271624</v>
      </c>
      <c r="S388" s="329">
        <f t="shared" si="169"/>
        <v>0.99176191480325437</v>
      </c>
      <c r="T388" s="330">
        <f t="shared" si="170"/>
        <v>0.19786289056461898</v>
      </c>
      <c r="U388" s="331">
        <f t="shared" si="171"/>
        <v>1.3382276843340304</v>
      </c>
      <c r="V388" s="332">
        <f t="shared" si="172"/>
        <v>-127.0249680570345</v>
      </c>
      <c r="W388" s="334">
        <f t="shared" si="173"/>
        <v>52.975031942965501</v>
      </c>
      <c r="Y388" s="307">
        <f t="shared" si="174"/>
        <v>1000000000</v>
      </c>
      <c r="Z388" s="307">
        <f t="shared" si="175"/>
        <v>1135100326.5625</v>
      </c>
      <c r="AB388" s="333">
        <f t="shared" si="176"/>
        <v>34.382228804591008</v>
      </c>
      <c r="AC388" s="334">
        <f t="shared" si="177"/>
        <v>-24.216781042764634</v>
      </c>
      <c r="AE388" s="333">
        <f t="shared" si="178"/>
        <v>-8.3501044562305964</v>
      </c>
      <c r="AF388" s="334">
        <f t="shared" si="179"/>
        <v>-95.698343389134237</v>
      </c>
      <c r="AH388">
        <f t="shared" si="180"/>
        <v>0</v>
      </c>
      <c r="AI388">
        <f t="shared" si="185"/>
        <v>0</v>
      </c>
    </row>
    <row r="389" spans="1:35" x14ac:dyDescent="0.25">
      <c r="A389" s="335">
        <v>33884</v>
      </c>
      <c r="B389" s="352">
        <f t="shared" si="181"/>
        <v>33.884</v>
      </c>
      <c r="C389" s="325">
        <f t="shared" si="156"/>
        <v>72.178719157839978</v>
      </c>
      <c r="D389" s="326">
        <f t="shared" si="157"/>
        <v>1.5569413844292994</v>
      </c>
      <c r="E389" s="326">
        <f t="shared" si="158"/>
        <v>1.003619543541123</v>
      </c>
      <c r="F389" s="327">
        <f t="shared" si="159"/>
        <v>8.4954806533237531E-2</v>
      </c>
      <c r="G389" s="326">
        <f t="shared" si="160"/>
        <v>1</v>
      </c>
      <c r="H389" s="327">
        <f t="shared" si="161"/>
        <v>0</v>
      </c>
      <c r="I389" s="325">
        <f t="shared" si="162"/>
        <v>11180.871580724022</v>
      </c>
      <c r="J389" s="328">
        <f t="shared" si="163"/>
        <v>1.5707068883290209</v>
      </c>
      <c r="K389" s="336">
        <f t="shared" si="183"/>
        <v>7.9713364798411961</v>
      </c>
      <c r="L389" s="337">
        <f t="shared" si="184"/>
        <v>1.4450154514861187</v>
      </c>
      <c r="M389" s="325">
        <f t="shared" si="164"/>
        <v>1.0460603570923246</v>
      </c>
      <c r="N389" s="337">
        <f t="shared" si="165"/>
        <v>0.29785636011358796</v>
      </c>
      <c r="O389" s="343">
        <f t="shared" si="166"/>
        <v>1.0192000755724231</v>
      </c>
      <c r="P389" s="691">
        <f t="shared" si="167"/>
        <v>0.19441102672812638</v>
      </c>
      <c r="Q389" s="336">
        <f t="shared" si="182"/>
        <v>4.3756540392303789</v>
      </c>
      <c r="R389" s="692">
        <f t="shared" si="168"/>
        <v>0.31911971327055083</v>
      </c>
      <c r="S389" s="329">
        <f t="shared" si="169"/>
        <v>0.99167144078859715</v>
      </c>
      <c r="T389" s="330">
        <f t="shared" si="170"/>
        <v>0.19902841760625584</v>
      </c>
      <c r="U389" s="331">
        <f t="shared" si="171"/>
        <v>1.2818300405693281</v>
      </c>
      <c r="V389" s="332">
        <f t="shared" si="172"/>
        <v>-127.15488948582235</v>
      </c>
      <c r="W389" s="334">
        <f t="shared" si="173"/>
        <v>52.845110514177648</v>
      </c>
      <c r="Y389" s="307">
        <f t="shared" si="174"/>
        <v>1000000000</v>
      </c>
      <c r="Z389" s="307">
        <f t="shared" si="175"/>
        <v>1148125456</v>
      </c>
      <c r="AB389" s="333">
        <f t="shared" si="176"/>
        <v>34.377199169765433</v>
      </c>
      <c r="AC389" s="334">
        <f t="shared" si="177"/>
        <v>-24.267501215400486</v>
      </c>
      <c r="AE389" s="333">
        <f t="shared" si="178"/>
        <v>-8.398498702090393</v>
      </c>
      <c r="AF389" s="334">
        <f t="shared" si="179"/>
        <v>-95.742106854756344</v>
      </c>
      <c r="AH389">
        <f t="shared" si="180"/>
        <v>0</v>
      </c>
      <c r="AI389">
        <f t="shared" si="185"/>
        <v>0</v>
      </c>
    </row>
    <row r="390" spans="1:35" x14ac:dyDescent="0.25">
      <c r="A390" s="335">
        <v>34081.5</v>
      </c>
      <c r="B390" s="352">
        <f t="shared" si="181"/>
        <v>34.081499999999998</v>
      </c>
      <c r="C390" s="325">
        <f t="shared" si="156"/>
        <v>72.599347439531016</v>
      </c>
      <c r="D390" s="326">
        <f t="shared" si="157"/>
        <v>1.5570216627031181</v>
      </c>
      <c r="E390" s="326">
        <f t="shared" si="158"/>
        <v>1.0036617838504542</v>
      </c>
      <c r="F390" s="327">
        <f t="shared" si="159"/>
        <v>8.544758358968714E-2</v>
      </c>
      <c r="G390" s="326">
        <f t="shared" si="160"/>
        <v>1</v>
      </c>
      <c r="H390" s="327">
        <f t="shared" si="161"/>
        <v>0</v>
      </c>
      <c r="I390" s="325">
        <f t="shared" si="162"/>
        <v>11246.041635014548</v>
      </c>
      <c r="J390" s="328">
        <f t="shared" si="163"/>
        <v>1.5707074066189117</v>
      </c>
      <c r="K390" s="336">
        <f t="shared" si="183"/>
        <v>8.0170699631355848</v>
      </c>
      <c r="L390" s="337">
        <f t="shared" si="184"/>
        <v>1.4457367453616925</v>
      </c>
      <c r="M390" s="325">
        <f t="shared" si="164"/>
        <v>1.0465868784439218</v>
      </c>
      <c r="N390" s="337">
        <f t="shared" si="165"/>
        <v>0.29949077933720386</v>
      </c>
      <c r="O390" s="343">
        <f t="shared" si="166"/>
        <v>1.0194224125775015</v>
      </c>
      <c r="P390" s="691">
        <f t="shared" si="167"/>
        <v>0.19551561400472525</v>
      </c>
      <c r="Q390" s="336">
        <f t="shared" si="182"/>
        <v>4.3781506542742168</v>
      </c>
      <c r="R390" s="692">
        <f t="shared" si="168"/>
        <v>0.32085657824973118</v>
      </c>
      <c r="S390" s="329">
        <f t="shared" si="169"/>
        <v>0.99157829893963978</v>
      </c>
      <c r="T390" s="330">
        <f t="shared" si="170"/>
        <v>0.20022326178876637</v>
      </c>
      <c r="U390" s="331">
        <f t="shared" si="171"/>
        <v>1.2243199063396188</v>
      </c>
      <c r="V390" s="332">
        <f t="shared" si="172"/>
        <v>-127.28828934378005</v>
      </c>
      <c r="W390" s="334">
        <f t="shared" si="173"/>
        <v>52.71171065621995</v>
      </c>
      <c r="Y390" s="307">
        <f t="shared" si="174"/>
        <v>1000000000</v>
      </c>
      <c r="Z390" s="307">
        <f t="shared" si="175"/>
        <v>1161548642.25</v>
      </c>
      <c r="AB390" s="333">
        <f t="shared" si="176"/>
        <v>34.372038422677633</v>
      </c>
      <c r="AC390" s="334">
        <f t="shared" si="177"/>
        <v>-24.319849139892835</v>
      </c>
      <c r="AE390" s="333">
        <f t="shared" si="178"/>
        <v>-8.4477882056915305</v>
      </c>
      <c r="AF390" s="334">
        <f t="shared" si="179"/>
        <v>-95.786931944342143</v>
      </c>
      <c r="AH390">
        <f t="shared" si="180"/>
        <v>0</v>
      </c>
      <c r="AI390">
        <f t="shared" si="185"/>
        <v>0</v>
      </c>
    </row>
    <row r="391" spans="1:35" x14ac:dyDescent="0.25">
      <c r="A391" s="335">
        <v>34279</v>
      </c>
      <c r="B391" s="352">
        <f t="shared" si="181"/>
        <v>34.279000000000003</v>
      </c>
      <c r="C391" s="325">
        <f t="shared" si="156"/>
        <v>73.019976183705538</v>
      </c>
      <c r="D391" s="326">
        <f t="shared" si="157"/>
        <v>1.5571010160976704</v>
      </c>
      <c r="E391" s="326">
        <f t="shared" si="158"/>
        <v>1.0037042678576529</v>
      </c>
      <c r="F391" s="327">
        <f t="shared" si="159"/>
        <v>8.5940319050017228E-2</v>
      </c>
      <c r="G391" s="326">
        <f t="shared" si="160"/>
        <v>1</v>
      </c>
      <c r="H391" s="327">
        <f t="shared" si="161"/>
        <v>0</v>
      </c>
      <c r="I391" s="325">
        <f t="shared" si="162"/>
        <v>11311.211689308057</v>
      </c>
      <c r="J391" s="328">
        <f t="shared" si="163"/>
        <v>1.5707079189365019</v>
      </c>
      <c r="K391" s="336">
        <f t="shared" si="183"/>
        <v>8.0628075701113531</v>
      </c>
      <c r="L391" s="337">
        <f t="shared" si="184"/>
        <v>1.4464498562876076</v>
      </c>
      <c r="M391" s="325">
        <f t="shared" si="164"/>
        <v>1.0471161927545136</v>
      </c>
      <c r="N391" s="337">
        <f t="shared" si="165"/>
        <v>0.30112355053011447</v>
      </c>
      <c r="O391" s="343">
        <f t="shared" si="166"/>
        <v>1.019645992849852</v>
      </c>
      <c r="P391" s="691">
        <f t="shared" si="167"/>
        <v>0.19661971821685403</v>
      </c>
      <c r="Q391" s="336">
        <f t="shared" si="182"/>
        <v>4.3806603438887439</v>
      </c>
      <c r="R391" s="692">
        <f t="shared" si="168"/>
        <v>0.32259146725463383</v>
      </c>
      <c r="S391" s="329">
        <f t="shared" si="169"/>
        <v>0.99148471523498127</v>
      </c>
      <c r="T391" s="330">
        <f t="shared" si="170"/>
        <v>0.20141871134261302</v>
      </c>
      <c r="U391" s="331">
        <f t="shared" si="171"/>
        <v>1.1670869176488643</v>
      </c>
      <c r="V391" s="332">
        <f t="shared" si="172"/>
        <v>-127.42196182222089</v>
      </c>
      <c r="W391" s="334">
        <f t="shared" si="173"/>
        <v>52.578038177779106</v>
      </c>
      <c r="Y391" s="307">
        <f t="shared" si="174"/>
        <v>1000000000</v>
      </c>
      <c r="Z391" s="307">
        <f t="shared" si="175"/>
        <v>1175049841</v>
      </c>
      <c r="AB391" s="333">
        <f t="shared" si="176"/>
        <v>34.366870180136686</v>
      </c>
      <c r="AC391" s="334">
        <f t="shared" si="177"/>
        <v>-24.372571145473476</v>
      </c>
      <c r="AE391" s="333">
        <f t="shared" si="178"/>
        <v>-8.4967801463685788</v>
      </c>
      <c r="AF391" s="334">
        <f t="shared" si="179"/>
        <v>-95.831741110754081</v>
      </c>
      <c r="AH391">
        <f t="shared" si="180"/>
        <v>0</v>
      </c>
      <c r="AI391">
        <f t="shared" si="185"/>
        <v>0</v>
      </c>
    </row>
    <row r="392" spans="1:35" x14ac:dyDescent="0.25">
      <c r="A392" s="335">
        <v>34476.5</v>
      </c>
      <c r="B392" s="352">
        <f t="shared" si="181"/>
        <v>34.476500000000001</v>
      </c>
      <c r="C392" s="325">
        <f t="shared" si="156"/>
        <v>73.440605382417019</v>
      </c>
      <c r="D392" s="326">
        <f t="shared" si="157"/>
        <v>1.5571794605036156</v>
      </c>
      <c r="E392" s="326">
        <f t="shared" si="158"/>
        <v>1.003746995531775</v>
      </c>
      <c r="F392" s="327">
        <f t="shared" si="159"/>
        <v>8.6433012680264029E-2</v>
      </c>
      <c r="G392" s="326">
        <f t="shared" si="160"/>
        <v>1</v>
      </c>
      <c r="H392" s="327">
        <f t="shared" si="161"/>
        <v>0</v>
      </c>
      <c r="I392" s="325">
        <f t="shared" si="162"/>
        <v>11376.381743604501</v>
      </c>
      <c r="J392" s="328">
        <f t="shared" si="163"/>
        <v>1.5707084253844283</v>
      </c>
      <c r="K392" s="336">
        <f t="shared" si="183"/>
        <v>8.1085492309875935</v>
      </c>
      <c r="L392" s="337">
        <f t="shared" si="184"/>
        <v>1.447154922016483</v>
      </c>
      <c r="M392" s="325">
        <f t="shared" si="164"/>
        <v>1.0476482957907525</v>
      </c>
      <c r="N392" s="337">
        <f t="shared" si="165"/>
        <v>0.3027546674911496</v>
      </c>
      <c r="O392" s="343">
        <f t="shared" si="166"/>
        <v>1.0198708155718124</v>
      </c>
      <c r="P392" s="691">
        <f t="shared" si="167"/>
        <v>0.19772333699119182</v>
      </c>
      <c r="Q392" s="336">
        <f t="shared" si="182"/>
        <v>4.3831830856173779</v>
      </c>
      <c r="R392" s="692">
        <f t="shared" si="168"/>
        <v>0.3243243733850048</v>
      </c>
      <c r="S392" s="329">
        <f t="shared" si="169"/>
        <v>0.99139069143226821</v>
      </c>
      <c r="T392" s="330">
        <f t="shared" si="170"/>
        <v>0.20261476974312409</v>
      </c>
      <c r="U392" s="331">
        <f t="shared" si="171"/>
        <v>1.1101275480724173</v>
      </c>
      <c r="V392" s="332">
        <f t="shared" si="172"/>
        <v>-127.5558995427014</v>
      </c>
      <c r="W392" s="334">
        <f t="shared" si="173"/>
        <v>52.444100457298603</v>
      </c>
      <c r="Y392" s="307">
        <f t="shared" si="174"/>
        <v>1000000000</v>
      </c>
      <c r="Z392" s="307">
        <f t="shared" si="175"/>
        <v>1188629052.25</v>
      </c>
      <c r="AB392" s="333">
        <f t="shared" si="176"/>
        <v>34.361694206203325</v>
      </c>
      <c r="AC392" s="334">
        <f t="shared" si="177"/>
        <v>-24.425658990078517</v>
      </c>
      <c r="AE392" s="333">
        <f t="shared" si="178"/>
        <v>-8.5454778866707386</v>
      </c>
      <c r="AF392" s="334">
        <f t="shared" si="179"/>
        <v>-95.876535476986689</v>
      </c>
      <c r="AH392">
        <f t="shared" si="180"/>
        <v>0</v>
      </c>
      <c r="AI392">
        <f t="shared" si="185"/>
        <v>0</v>
      </c>
    </row>
    <row r="393" spans="1:35" x14ac:dyDescent="0.25">
      <c r="A393" s="335">
        <v>34674</v>
      </c>
      <c r="B393" s="352">
        <f t="shared" si="181"/>
        <v>34.673999999999999</v>
      </c>
      <c r="C393" s="325">
        <f t="shared" si="156"/>
        <v>73.861235027899852</v>
      </c>
      <c r="D393" s="326">
        <f t="shared" si="157"/>
        <v>1.5572570114496773</v>
      </c>
      <c r="E393" s="326">
        <f t="shared" si="158"/>
        <v>1.003789966841705</v>
      </c>
      <c r="F393" s="327">
        <f t="shared" si="159"/>
        <v>8.6925664246584738E-2</v>
      </c>
      <c r="G393" s="326">
        <f t="shared" si="160"/>
        <v>1</v>
      </c>
      <c r="H393" s="327">
        <f t="shared" si="161"/>
        <v>0</v>
      </c>
      <c r="I393" s="325">
        <f t="shared" si="162"/>
        <v>11441.551797903829</v>
      </c>
      <c r="J393" s="328">
        <f t="shared" si="163"/>
        <v>1.570708926062991</v>
      </c>
      <c r="K393" s="336">
        <f t="shared" si="183"/>
        <v>8.1542948775430268</v>
      </c>
      <c r="L393" s="337">
        <f t="shared" si="184"/>
        <v>1.4478520772421724</v>
      </c>
      <c r="M393" s="325">
        <f t="shared" si="164"/>
        <v>1.0481831833056061</v>
      </c>
      <c r="N393" s="337">
        <f t="shared" si="165"/>
        <v>0.30438412406690663</v>
      </c>
      <c r="O393" s="343">
        <f t="shared" si="166"/>
        <v>1.0200968799218986</v>
      </c>
      <c r="P393" s="691">
        <f t="shared" si="167"/>
        <v>0.19882646796123427</v>
      </c>
      <c r="Q393" s="336">
        <f t="shared" si="182"/>
        <v>4.3857188569385475</v>
      </c>
      <c r="R393" s="692">
        <f t="shared" si="168"/>
        <v>0.32605528980363296</v>
      </c>
      <c r="S393" s="329">
        <f t="shared" si="169"/>
        <v>0.99129622930010652</v>
      </c>
      <c r="T393" s="330">
        <f t="shared" si="170"/>
        <v>0.20381144046463495</v>
      </c>
      <c r="U393" s="331">
        <f t="shared" si="171"/>
        <v>1.053438337174786</v>
      </c>
      <c r="V393" s="332">
        <f t="shared" si="172"/>
        <v>-127.6900952870555</v>
      </c>
      <c r="W393" s="334">
        <f t="shared" si="173"/>
        <v>52.309904712944501</v>
      </c>
      <c r="Y393" s="307">
        <f t="shared" si="174"/>
        <v>1000000000</v>
      </c>
      <c r="Z393" s="307">
        <f t="shared" si="175"/>
        <v>1202286276</v>
      </c>
      <c r="AB393" s="333">
        <f t="shared" si="176"/>
        <v>34.356510273598403</v>
      </c>
      <c r="AC393" s="334">
        <f t="shared" si="177"/>
        <v>-24.479104609501345</v>
      </c>
      <c r="AE393" s="333">
        <f t="shared" si="178"/>
        <v>-8.5938847319200669</v>
      </c>
      <c r="AF393" s="334">
        <f t="shared" si="179"/>
        <v>-95.921316145233192</v>
      </c>
      <c r="AH393">
        <f t="shared" si="180"/>
        <v>0</v>
      </c>
      <c r="AI393">
        <f t="shared" si="185"/>
        <v>0</v>
      </c>
    </row>
    <row r="394" spans="1:35" x14ac:dyDescent="0.25">
      <c r="A394" s="335">
        <v>34875.75</v>
      </c>
      <c r="B394" s="352">
        <f t="shared" si="181"/>
        <v>34.875749999999996</v>
      </c>
      <c r="C394" s="325">
        <f t="shared" si="156"/>
        <v>74.290916650803638</v>
      </c>
      <c r="D394" s="326">
        <f t="shared" si="157"/>
        <v>1.5573353244882107</v>
      </c>
      <c r="E394" s="326">
        <f t="shared" si="158"/>
        <v>1.0038341143745824</v>
      </c>
      <c r="F394" s="327">
        <f t="shared" si="159"/>
        <v>8.7428873501250295E-2</v>
      </c>
      <c r="G394" s="326">
        <f t="shared" si="160"/>
        <v>1</v>
      </c>
      <c r="H394" s="327">
        <f t="shared" si="161"/>
        <v>0</v>
      </c>
      <c r="I394" s="325">
        <f t="shared" si="162"/>
        <v>11508.124245779614</v>
      </c>
      <c r="J394" s="328">
        <f t="shared" si="163"/>
        <v>1.5707094316606505</v>
      </c>
      <c r="K394" s="336">
        <f t="shared" si="183"/>
        <v>8.2010289699821879</v>
      </c>
      <c r="L394" s="337">
        <f t="shared" si="184"/>
        <v>1.4485562038291098</v>
      </c>
      <c r="M394" s="325">
        <f t="shared" si="164"/>
        <v>1.0487324516294645</v>
      </c>
      <c r="N394" s="337">
        <f t="shared" si="165"/>
        <v>0.30604692418460527</v>
      </c>
      <c r="O394" s="343">
        <f t="shared" si="166"/>
        <v>1.0203290900830932</v>
      </c>
      <c r="P394" s="691">
        <f t="shared" si="167"/>
        <v>0.19995283107602285</v>
      </c>
      <c r="Q394" s="336">
        <f t="shared" si="182"/>
        <v>4.3883226251878718</v>
      </c>
      <c r="R394" s="692">
        <f t="shared" si="168"/>
        <v>0.32782139234922869</v>
      </c>
      <c r="S394" s="329">
        <f t="shared" si="169"/>
        <v>0.99119928370964683</v>
      </c>
      <c r="T394" s="330">
        <f t="shared" si="170"/>
        <v>0.20503449816777941</v>
      </c>
      <c r="U394" s="331">
        <f t="shared" si="171"/>
        <v>0.99580464216548692</v>
      </c>
      <c r="V394" s="332">
        <f t="shared" si="172"/>
        <v>-127.82743785701702</v>
      </c>
      <c r="W394" s="334">
        <f t="shared" si="173"/>
        <v>52.172562142982983</v>
      </c>
      <c r="Y394" s="307">
        <f t="shared" si="174"/>
        <v>1000000000</v>
      </c>
      <c r="Z394" s="307">
        <f t="shared" si="175"/>
        <v>1216317938.0625</v>
      </c>
      <c r="AB394" s="333">
        <f t="shared" si="176"/>
        <v>34.351206343008045</v>
      </c>
      <c r="AC394" s="334">
        <f t="shared" si="177"/>
        <v>-24.534061525419688</v>
      </c>
      <c r="AE394" s="333">
        <f t="shared" si="178"/>
        <v>-8.6430362701971521</v>
      </c>
      <c r="AF394" s="334">
        <f t="shared" si="179"/>
        <v>-95.96704742986114</v>
      </c>
      <c r="AH394">
        <f t="shared" si="180"/>
        <v>0</v>
      </c>
      <c r="AI394">
        <f t="shared" si="185"/>
        <v>0</v>
      </c>
    </row>
    <row r="395" spans="1:35" x14ac:dyDescent="0.25">
      <c r="A395" s="335">
        <v>35077.5</v>
      </c>
      <c r="B395" s="352">
        <f t="shared" si="181"/>
        <v>35.077500000000001</v>
      </c>
      <c r="C395" s="325">
        <f t="shared" si="156"/>
        <v>74.720598724088461</v>
      </c>
      <c r="D395" s="326">
        <f t="shared" si="157"/>
        <v>1.5574127368462951</v>
      </c>
      <c r="E395" s="326">
        <f t="shared" si="158"/>
        <v>1.0038785160754922</v>
      </c>
      <c r="F395" s="327">
        <f t="shared" si="159"/>
        <v>8.7932038369272464E-2</v>
      </c>
      <c r="G395" s="326">
        <f t="shared" si="160"/>
        <v>1</v>
      </c>
      <c r="H395" s="327">
        <f t="shared" si="161"/>
        <v>0</v>
      </c>
      <c r="I395" s="325">
        <f t="shared" si="162"/>
        <v>11574.696693658309</v>
      </c>
      <c r="J395" s="328">
        <f t="shared" si="163"/>
        <v>1.5707099314423694</v>
      </c>
      <c r="K395" s="336">
        <f t="shared" si="183"/>
        <v>8.2477670823648062</v>
      </c>
      <c r="L395" s="337">
        <f t="shared" si="184"/>
        <v>1.4492523505259034</v>
      </c>
      <c r="M395" s="325">
        <f t="shared" si="164"/>
        <v>1.0492846165576919</v>
      </c>
      <c r="N395" s="337">
        <f t="shared" si="165"/>
        <v>0.30770797886069778</v>
      </c>
      <c r="O395" s="343">
        <f t="shared" si="166"/>
        <v>1.0205625941395162</v>
      </c>
      <c r="P395" s="691">
        <f t="shared" si="167"/>
        <v>0.2010786801963329</v>
      </c>
      <c r="Q395" s="336">
        <f t="shared" si="182"/>
        <v>4.3909399421186164</v>
      </c>
      <c r="R395" s="692">
        <f t="shared" si="168"/>
        <v>0.32958540440680806</v>
      </c>
      <c r="S395" s="329">
        <f t="shared" si="169"/>
        <v>0.99110188448777259</v>
      </c>
      <c r="T395" s="330">
        <f t="shared" si="170"/>
        <v>0.20625820215424095</v>
      </c>
      <c r="U395" s="331">
        <f t="shared" si="171"/>
        <v>0.93844576216386477</v>
      </c>
      <c r="V395" s="332">
        <f t="shared" si="172"/>
        <v>-127.96503494219803</v>
      </c>
      <c r="W395" s="334">
        <f t="shared" si="173"/>
        <v>52.034965057801969</v>
      </c>
      <c r="Y395" s="307">
        <f t="shared" si="174"/>
        <v>1000000000</v>
      </c>
      <c r="Z395" s="307">
        <f t="shared" si="175"/>
        <v>1230431006.25</v>
      </c>
      <c r="AB395" s="333">
        <f t="shared" si="176"/>
        <v>34.345893654518441</v>
      </c>
      <c r="AC395" s="334">
        <f t="shared" si="177"/>
        <v>-24.589375315698383</v>
      </c>
      <c r="AE395" s="333">
        <f t="shared" si="178"/>
        <v>-8.6918910545605357</v>
      </c>
      <c r="AF395" s="334">
        <f t="shared" si="179"/>
        <v>-96.012766681774423</v>
      </c>
      <c r="AH395">
        <f t="shared" si="180"/>
        <v>0</v>
      </c>
      <c r="AI395">
        <f t="shared" si="185"/>
        <v>0</v>
      </c>
    </row>
    <row r="396" spans="1:35" x14ac:dyDescent="0.25">
      <c r="A396" s="335">
        <v>35279.25</v>
      </c>
      <c r="B396" s="352">
        <f t="shared" si="181"/>
        <v>35.279249999999998</v>
      </c>
      <c r="C396" s="325">
        <f t="shared" si="156"/>
        <v>75.15028124002896</v>
      </c>
      <c r="D396" s="326">
        <f t="shared" si="157"/>
        <v>1.5574892639723041</v>
      </c>
      <c r="E396" s="326">
        <f t="shared" si="158"/>
        <v>1.0039231719107098</v>
      </c>
      <c r="F396" s="327">
        <f t="shared" si="159"/>
        <v>8.8435158601780209E-2</v>
      </c>
      <c r="G396" s="326">
        <f t="shared" si="160"/>
        <v>1</v>
      </c>
      <c r="H396" s="327">
        <f t="shared" si="161"/>
        <v>0</v>
      </c>
      <c r="I396" s="325">
        <f t="shared" si="162"/>
        <v>11641.26914153986</v>
      </c>
      <c r="J396" s="328">
        <f t="shared" si="163"/>
        <v>1.5707104255079261</v>
      </c>
      <c r="K396" s="336">
        <f t="shared" si="183"/>
        <v>8.2945091467358409</v>
      </c>
      <c r="L396" s="337">
        <f t="shared" si="184"/>
        <v>1.4499406515593256</v>
      </c>
      <c r="M396" s="325">
        <f t="shared" si="164"/>
        <v>1.0498396735198665</v>
      </c>
      <c r="N396" s="337">
        <f t="shared" si="165"/>
        <v>0.30936728169045247</v>
      </c>
      <c r="O396" s="343">
        <f t="shared" si="166"/>
        <v>1.0207973912032442</v>
      </c>
      <c r="P396" s="691">
        <f t="shared" si="167"/>
        <v>0.20220401282176223</v>
      </c>
      <c r="Q396" s="336">
        <f t="shared" si="182"/>
        <v>4.3935707835193085</v>
      </c>
      <c r="R396" s="692">
        <f t="shared" si="168"/>
        <v>0.33134731889183472</v>
      </c>
      <c r="S396" s="329">
        <f t="shared" si="169"/>
        <v>0.99100403355524858</v>
      </c>
      <c r="T396" s="330">
        <f t="shared" si="170"/>
        <v>0.20748255612418004</v>
      </c>
      <c r="U396" s="331">
        <f t="shared" si="171"/>
        <v>0.88135821162235672</v>
      </c>
      <c r="V396" s="332">
        <f t="shared" si="172"/>
        <v>-128.10287933946157</v>
      </c>
      <c r="W396" s="334">
        <f t="shared" si="173"/>
        <v>51.897120660538434</v>
      </c>
      <c r="Y396" s="307">
        <f t="shared" si="174"/>
        <v>1000000000</v>
      </c>
      <c r="Z396" s="307">
        <f t="shared" si="175"/>
        <v>1244625480.5625</v>
      </c>
      <c r="AB396" s="333">
        <f t="shared" si="176"/>
        <v>34.340571992034093</v>
      </c>
      <c r="AC396" s="334">
        <f t="shared" si="177"/>
        <v>-24.64503792846266</v>
      </c>
      <c r="AE396" s="333">
        <f t="shared" si="178"/>
        <v>-8.740452431692022</v>
      </c>
      <c r="AF396" s="334">
        <f t="shared" si="179"/>
        <v>-96.058475012362493</v>
      </c>
      <c r="AH396">
        <f t="shared" si="180"/>
        <v>0</v>
      </c>
      <c r="AI396">
        <f t="shared" si="185"/>
        <v>0</v>
      </c>
    </row>
    <row r="397" spans="1:35" x14ac:dyDescent="0.25">
      <c r="A397" s="335">
        <v>35481</v>
      </c>
      <c r="B397" s="352">
        <f t="shared" si="181"/>
        <v>35.481000000000002</v>
      </c>
      <c r="C397" s="325">
        <f t="shared" ref="C397:C460" si="186">SQRT(1+(A397/pole1)^2)</f>
        <v>75.579964191075462</v>
      </c>
      <c r="D397" s="326">
        <f t="shared" ref="D397:D460" si="187">ATAN(A397/pole1)</f>
        <v>1.5575649209633482</v>
      </c>
      <c r="E397" s="326">
        <f t="shared" ref="E397:E460" si="188">SQRT(1+(A397/Zero1)^2)</f>
        <v>1.0039680818463241</v>
      </c>
      <c r="F397" s="327">
        <f t="shared" ref="F397:F460" si="189">ATAN(A397/Zero1)</f>
        <v>8.893823395003711E-2</v>
      </c>
      <c r="G397" s="326">
        <f t="shared" ref="G397:G460" si="190">IF(VIN_nom&gt;Vout, 1, SQRT(1+(A397/z_RHP)^2))</f>
        <v>1</v>
      </c>
      <c r="H397" s="327">
        <f t="shared" ref="H397:H460" si="191">IF(VIN_nom&gt;Vout, 0, -ATAN(A397/z_RHP))</f>
        <v>0</v>
      </c>
      <c r="I397" s="325">
        <f t="shared" ref="I397:I460" si="192">SQRT(1+(A397/Pole2)^2)</f>
        <v>11707.841589424223</v>
      </c>
      <c r="J397" s="328">
        <f t="shared" ref="J397:J460" si="193">ATAN(A397/Pole2)</f>
        <v>1.570710913954829</v>
      </c>
      <c r="K397" s="336">
        <f t="shared" si="183"/>
        <v>8.3412550966577754</v>
      </c>
      <c r="L397" s="337">
        <f t="shared" si="184"/>
        <v>1.4506212381773393</v>
      </c>
      <c r="M397" s="325">
        <f t="shared" ref="M397:M460" si="194">SQRT(1+(A397/pole4)^2)</f>
        <v>1.0503976179313144</v>
      </c>
      <c r="N397" s="337">
        <f t="shared" ref="N397:N460" si="195">ATAN(A397/pole4)</f>
        <v>0.31102482632122663</v>
      </c>
      <c r="O397" s="343">
        <f t="shared" ref="O397:O460" si="196">IF(VOUT_setting=1,1,SQRT(1+(A397*zterm1)^2))</f>
        <v>1.0210334803822569</v>
      </c>
      <c r="P397" s="691">
        <f t="shared" ref="P397:P460" si="197">IF(VOUT_setting=1,0,ATAN(((A397*zterm1))))</f>
        <v>0.20332882645943501</v>
      </c>
      <c r="Q397" s="336">
        <f t="shared" si="182"/>
        <v>4.3962151251114703</v>
      </c>
      <c r="R397" s="692">
        <f t="shared" ref="R397:R460" si="198">IF(VOUT_setting=1,0,ATAN(A397*$Q$4/(1+Afbr-$Q$5*(A397)^2)))</f>
        <v>0.33310712878830939</v>
      </c>
      <c r="S397" s="329">
        <f t="shared" ref="S397:S460" si="199">SQRT((1-(Z397/pterm2))^2+(A397/pterm1)^2)</f>
        <v>0.9909057328448303</v>
      </c>
      <c r="T397" s="330">
        <f t="shared" ref="T397:T460" si="200">IF((ATAN((A397/pterm1)/(1-A397^2/pterm2))&gt;0),ATAN((A397/pterm1)/(1-A397^2/pterm2)),PI()+ATAN((A397/pterm1)/(1-A397^2/pterm2)))</f>
        <v>0.20870756377659438</v>
      </c>
      <c r="U397" s="331">
        <f t="shared" ref="U397:U460" si="201">20*LOG10(((E397*K397*G397*O397)/(C397*I397*S397*M397*Q397))*Adc)</f>
        <v>0.82453857015460874</v>
      </c>
      <c r="V397" s="332">
        <f t="shared" ref="V397:V460" si="202">((F397+L397+H397+P397)-(D397+J397+T397+N397+R397))*radconv</f>
        <v>-128.24096400249385</v>
      </c>
      <c r="W397" s="334">
        <f t="shared" ref="W397:W460" si="203">IF(V397&gt;0,V397,V397+180)</f>
        <v>51.759035997506146</v>
      </c>
      <c r="Y397" s="307">
        <f t="shared" ref="Y397:Y460" si="204">IF(U397&lt;0,A397,1000000000)</f>
        <v>1000000000</v>
      </c>
      <c r="Z397" s="307">
        <f t="shared" ref="Z397:Z460" si="205">A397^2</f>
        <v>1258901361</v>
      </c>
      <c r="AB397" s="333">
        <f t="shared" ref="AB397:AB460" si="206">20*LOG10((K397/(I397*M397))*AEA)</f>
        <v>34.33524114770114</v>
      </c>
      <c r="AC397" s="334">
        <f t="shared" ref="AC397:AC460" si="207">(L397-(J397+N397))*radconv</f>
        <v>-24.701041485365359</v>
      </c>
      <c r="AE397" s="333">
        <f t="shared" ref="AE397:AE460" si="208">20*LOG10((E397*G397/(C397*S397))*Acs*Am)</f>
        <v>-8.7887236914480447</v>
      </c>
      <c r="AF397" s="334">
        <f t="shared" ref="AF397:AF460" si="209">(F397+H397-(D397+T397))*radconv</f>
        <v>-96.104173512814583</v>
      </c>
      <c r="AH397">
        <f t="shared" ref="AH397:AH460" si="210">SUM((U398&lt;0)*(U397&gt;0))*A397</f>
        <v>0</v>
      </c>
      <c r="AI397">
        <f t="shared" si="185"/>
        <v>0</v>
      </c>
    </row>
    <row r="398" spans="1:35" x14ac:dyDescent="0.25">
      <c r="A398" s="335">
        <v>35687.75</v>
      </c>
      <c r="B398" s="352">
        <f t="shared" ref="B398:B461" si="211">A398/1000</f>
        <v>35.687750000000001</v>
      </c>
      <c r="C398" s="325">
        <f t="shared" si="186"/>
        <v>76.020296481755551</v>
      </c>
      <c r="D398" s="326">
        <f t="shared" si="187"/>
        <v>1.5576415656567</v>
      </c>
      <c r="E398" s="326">
        <f t="shared" si="188"/>
        <v>1.0040143683803688</v>
      </c>
      <c r="F398" s="327">
        <f t="shared" si="189"/>
        <v>8.9453730262189737E-2</v>
      </c>
      <c r="G398" s="326">
        <f t="shared" si="190"/>
        <v>1</v>
      </c>
      <c r="H398" s="327">
        <f t="shared" si="191"/>
        <v>0</v>
      </c>
      <c r="I398" s="325">
        <f t="shared" si="192"/>
        <v>11776.06391210412</v>
      </c>
      <c r="J398" s="328">
        <f t="shared" si="193"/>
        <v>1.5707114087774108</v>
      </c>
      <c r="K398" s="336">
        <f t="shared" si="183"/>
        <v>8.3891635215939218</v>
      </c>
      <c r="L398" s="337">
        <f t="shared" si="184"/>
        <v>1.4513108225515461</v>
      </c>
      <c r="M398" s="325">
        <f t="shared" si="194"/>
        <v>1.0509723808268847</v>
      </c>
      <c r="N398" s="337">
        <f t="shared" si="195"/>
        <v>0.31272161943516091</v>
      </c>
      <c r="O398" s="343">
        <f t="shared" si="196"/>
        <v>1.0212767602029313</v>
      </c>
      <c r="P398" s="691">
        <f t="shared" si="197"/>
        <v>0.20448097547926056</v>
      </c>
      <c r="Q398" s="336">
        <f t="shared" si="182"/>
        <v>4.3989389825484295</v>
      </c>
      <c r="R398" s="692">
        <f t="shared" si="198"/>
        <v>0.33490836157357273</v>
      </c>
      <c r="S398" s="329">
        <f t="shared" si="199"/>
        <v>0.99080453133142132</v>
      </c>
      <c r="T398" s="330">
        <f t="shared" si="200"/>
        <v>0.20996361302608341</v>
      </c>
      <c r="U398" s="331">
        <f t="shared" si="201"/>
        <v>0.76658519895165766</v>
      </c>
      <c r="V398" s="332">
        <f t="shared" si="202"/>
        <v>-128.38271289935301</v>
      </c>
      <c r="W398" s="334">
        <f t="shared" si="203"/>
        <v>51.61728710064699</v>
      </c>
      <c r="Y398" s="307">
        <f t="shared" si="204"/>
        <v>1000000000</v>
      </c>
      <c r="Z398" s="307">
        <f t="shared" si="205"/>
        <v>1273615500.0625</v>
      </c>
      <c r="AB398" s="333">
        <f t="shared" si="206"/>
        <v>34.329768453226777</v>
      </c>
      <c r="AC398" s="334">
        <f t="shared" si="207"/>
        <v>-24.758778646551967</v>
      </c>
      <c r="AE398" s="333">
        <f t="shared" si="208"/>
        <v>-8.8378936563657433</v>
      </c>
      <c r="AF398" s="334">
        <f t="shared" si="209"/>
        <v>-96.150995488134583</v>
      </c>
      <c r="AH398">
        <f t="shared" si="210"/>
        <v>0</v>
      </c>
      <c r="AI398">
        <f t="shared" si="185"/>
        <v>0</v>
      </c>
    </row>
    <row r="399" spans="1:35" x14ac:dyDescent="0.25">
      <c r="A399" s="335">
        <v>35894.5</v>
      </c>
      <c r="B399" s="352">
        <f t="shared" si="211"/>
        <v>35.894500000000001</v>
      </c>
      <c r="C399" s="325">
        <f t="shared" si="186"/>
        <v>76.460629213866355</v>
      </c>
      <c r="D399" s="326">
        <f t="shared" si="187"/>
        <v>1.5577173275649971</v>
      </c>
      <c r="E399" s="326">
        <f t="shared" si="188"/>
        <v>1.0040609216929848</v>
      </c>
      <c r="F399" s="327">
        <f t="shared" si="189"/>
        <v>8.9969178909303546E-2</v>
      </c>
      <c r="G399" s="326">
        <f t="shared" si="190"/>
        <v>1</v>
      </c>
      <c r="H399" s="327">
        <f t="shared" si="191"/>
        <v>0</v>
      </c>
      <c r="I399" s="325">
        <f t="shared" si="192"/>
        <v>11844.28623478687</v>
      </c>
      <c r="J399" s="328">
        <f t="shared" si="193"/>
        <v>1.5707118978997006</v>
      </c>
      <c r="K399" s="336">
        <f t="shared" si="183"/>
        <v>8.4370758904947341</v>
      </c>
      <c r="L399" s="337">
        <f t="shared" si="184"/>
        <v>1.4519925752393597</v>
      </c>
      <c r="M399" s="325">
        <f t="shared" si="194"/>
        <v>1.0515501662713904</v>
      </c>
      <c r="N399" s="337">
        <f t="shared" si="195"/>
        <v>0.31441655278241598</v>
      </c>
      <c r="O399" s="343">
        <f t="shared" si="196"/>
        <v>1.021521395067972</v>
      </c>
      <c r="P399" s="691">
        <f t="shared" si="197"/>
        <v>0.20563257419179137</v>
      </c>
      <c r="Q399" s="336">
        <f t="shared" ref="Q399:Q462" si="212">IF(VOUT_setting=1,1,SQRT((1+Afbr-$Q$5*(A399)^2)^2+(A399*$Q$4)^2))</f>
        <v>4.4016769657860815</v>
      </c>
      <c r="R399" s="692">
        <f t="shared" si="198"/>
        <v>0.33670736946278007</v>
      </c>
      <c r="S399" s="329">
        <f t="shared" si="199"/>
        <v>0.99070286161850629</v>
      </c>
      <c r="T399" s="330">
        <f t="shared" si="200"/>
        <v>0.21122035662182684</v>
      </c>
      <c r="U399" s="331">
        <f t="shared" si="201"/>
        <v>0.70890611067750453</v>
      </c>
      <c r="V399" s="332">
        <f t="shared" si="202"/>
        <v>-128.52469962279412</v>
      </c>
      <c r="W399" s="334">
        <f t="shared" si="203"/>
        <v>51.475300377205883</v>
      </c>
      <c r="Y399" s="307">
        <f t="shared" si="204"/>
        <v>1000000000</v>
      </c>
      <c r="Z399" s="307">
        <f t="shared" si="205"/>
        <v>1288415130.25</v>
      </c>
      <c r="AB399" s="333">
        <f t="shared" si="206"/>
        <v>34.324285699550835</v>
      </c>
      <c r="AC399" s="334">
        <f t="shared" si="207"/>
        <v>-24.816857646931474</v>
      </c>
      <c r="AE399" s="333">
        <f t="shared" si="208"/>
        <v>-8.8867657637317325</v>
      </c>
      <c r="AF399" s="334">
        <f t="shared" si="209"/>
        <v>-96.19780939771222</v>
      </c>
      <c r="AH399">
        <f t="shared" si="210"/>
        <v>0</v>
      </c>
      <c r="AI399">
        <f t="shared" si="185"/>
        <v>0</v>
      </c>
    </row>
    <row r="400" spans="1:35" x14ac:dyDescent="0.25">
      <c r="A400" s="335">
        <v>36101.25</v>
      </c>
      <c r="B400" s="352">
        <f t="shared" si="211"/>
        <v>36.10125</v>
      </c>
      <c r="C400" s="325">
        <f t="shared" si="186"/>
        <v>76.900962379825032</v>
      </c>
      <c r="D400" s="326">
        <f t="shared" si="187"/>
        <v>1.5577922218517837</v>
      </c>
      <c r="E400" s="326">
        <f t="shared" si="188"/>
        <v>1.0041077417470667</v>
      </c>
      <c r="F400" s="327">
        <f t="shared" si="189"/>
        <v>9.0484579624131006E-2</v>
      </c>
      <c r="G400" s="326">
        <f t="shared" si="190"/>
        <v>1</v>
      </c>
      <c r="H400" s="327">
        <f t="shared" si="191"/>
        <v>0</v>
      </c>
      <c r="I400" s="325">
        <f t="shared" si="192"/>
        <v>11912.50855747242</v>
      </c>
      <c r="J400" s="328">
        <f t="shared" si="193"/>
        <v>1.5707123814196342</v>
      </c>
      <c r="K400" s="336">
        <f t="shared" si="183"/>
        <v>8.484992136548831</v>
      </c>
      <c r="L400" s="337">
        <f t="shared" si="184"/>
        <v>1.4526666282823515</v>
      </c>
      <c r="M400" s="325">
        <f t="shared" si="194"/>
        <v>1.0521309692852672</v>
      </c>
      <c r="N400" s="337">
        <f t="shared" si="195"/>
        <v>0.31610961969654772</v>
      </c>
      <c r="O400" s="343">
        <f t="shared" si="196"/>
        <v>1.0217673840040913</v>
      </c>
      <c r="P400" s="691">
        <f t="shared" si="197"/>
        <v>0.20678361993894454</v>
      </c>
      <c r="Q400" s="336">
        <f t="shared" si="212"/>
        <v>4.404429048482994</v>
      </c>
      <c r="R400" s="692">
        <f t="shared" si="198"/>
        <v>0.33850414512900467</v>
      </c>
      <c r="S400" s="329">
        <f t="shared" si="199"/>
        <v>0.99060072582542302</v>
      </c>
      <c r="T400" s="330">
        <f t="shared" si="200"/>
        <v>0.21247779854077004</v>
      </c>
      <c r="U400" s="331">
        <f t="shared" si="201"/>
        <v>0.65149782713540549</v>
      </c>
      <c r="V400" s="332">
        <f t="shared" si="202"/>
        <v>-128.66691707552107</v>
      </c>
      <c r="W400" s="334">
        <f t="shared" si="203"/>
        <v>51.33308292447893</v>
      </c>
      <c r="Y400" s="307">
        <f t="shared" si="204"/>
        <v>1000000000</v>
      </c>
      <c r="Z400" s="307">
        <f t="shared" si="205"/>
        <v>1303300251.5625</v>
      </c>
      <c r="AB400" s="333">
        <f t="shared" si="206"/>
        <v>34.318792688167072</v>
      </c>
      <c r="AC400" s="334">
        <f t="shared" si="207"/>
        <v>-24.875270544731332</v>
      </c>
      <c r="AE400" s="333">
        <f t="shared" si="208"/>
        <v>-8.9353433767331794</v>
      </c>
      <c r="AF400" s="334">
        <f t="shared" si="209"/>
        <v>-96.244616353528855</v>
      </c>
      <c r="AH400">
        <f t="shared" si="210"/>
        <v>0</v>
      </c>
      <c r="AI400">
        <f t="shared" si="185"/>
        <v>0</v>
      </c>
    </row>
    <row r="401" spans="1:35" x14ac:dyDescent="0.25">
      <c r="A401" s="335">
        <v>36308</v>
      </c>
      <c r="B401" s="352">
        <f t="shared" si="211"/>
        <v>36.308</v>
      </c>
      <c r="C401" s="325">
        <f t="shared" si="186"/>
        <v>77.341295972221388</v>
      </c>
      <c r="D401" s="326">
        <f t="shared" si="187"/>
        <v>1.5578662633353162</v>
      </c>
      <c r="E401" s="326">
        <f t="shared" si="188"/>
        <v>1.0041548285053028</v>
      </c>
      <c r="F401" s="327">
        <f t="shared" si="189"/>
        <v>9.0999932139576134E-2</v>
      </c>
      <c r="G401" s="326">
        <f t="shared" si="190"/>
        <v>1</v>
      </c>
      <c r="H401" s="327">
        <f t="shared" si="191"/>
        <v>0</v>
      </c>
      <c r="I401" s="325">
        <f t="shared" si="192"/>
        <v>11980.730880160725</v>
      </c>
      <c r="J401" s="328">
        <f t="shared" si="193"/>
        <v>1.5707128594329165</v>
      </c>
      <c r="K401" s="336">
        <f t="shared" si="183"/>
        <v>8.532912194440188</v>
      </c>
      <c r="L401" s="337">
        <f t="shared" si="184"/>
        <v>1.4533331107843077</v>
      </c>
      <c r="M401" s="325">
        <f t="shared" si="194"/>
        <v>1.0527147848739613</v>
      </c>
      <c r="N401" s="337">
        <f t="shared" si="195"/>
        <v>0.31780081356858603</v>
      </c>
      <c r="O401" s="343">
        <f t="shared" si="196"/>
        <v>1.0220147260335541</v>
      </c>
      <c r="P401" s="691">
        <f t="shared" si="197"/>
        <v>0.20793411007105028</v>
      </c>
      <c r="Q401" s="336">
        <f t="shared" si="212"/>
        <v>4.4071952042280511</v>
      </c>
      <c r="R401" s="692">
        <f t="shared" si="198"/>
        <v>0.34029868132070257</v>
      </c>
      <c r="S401" s="329">
        <f t="shared" si="199"/>
        <v>0.99049812608480003</v>
      </c>
      <c r="T401" s="330">
        <f t="shared" si="200"/>
        <v>0.21373594275847896</v>
      </c>
      <c r="U401" s="331">
        <f t="shared" si="201"/>
        <v>0.59435693530685318</v>
      </c>
      <c r="V401" s="332">
        <f t="shared" si="202"/>
        <v>-128.80935831569118</v>
      </c>
      <c r="W401" s="334">
        <f t="shared" si="203"/>
        <v>51.190641684308815</v>
      </c>
      <c r="Y401" s="307">
        <f t="shared" si="204"/>
        <v>1000000000</v>
      </c>
      <c r="Z401" s="307">
        <f t="shared" si="205"/>
        <v>1318270864</v>
      </c>
      <c r="AB401" s="333">
        <f t="shared" si="206"/>
        <v>34.31328922851187</v>
      </c>
      <c r="AC401" s="334">
        <f t="shared" si="207"/>
        <v>-24.934009569666863</v>
      </c>
      <c r="AE401" s="333">
        <f t="shared" si="208"/>
        <v>-8.9836298014068756</v>
      </c>
      <c r="AF401" s="334">
        <f t="shared" si="209"/>
        <v>-96.29141744769467</v>
      </c>
      <c r="AH401">
        <f t="shared" si="210"/>
        <v>0</v>
      </c>
      <c r="AI401">
        <f t="shared" si="185"/>
        <v>0</v>
      </c>
    </row>
    <row r="402" spans="1:35" x14ac:dyDescent="0.25">
      <c r="A402" s="335">
        <v>36519.5</v>
      </c>
      <c r="B402" s="352">
        <f t="shared" si="211"/>
        <v>36.519500000000001</v>
      </c>
      <c r="C402" s="325">
        <f t="shared" si="186"/>
        <v>77.791746489553603</v>
      </c>
      <c r="D402" s="326">
        <f t="shared" si="187"/>
        <v>1.5579411385737483</v>
      </c>
      <c r="E402" s="326">
        <f t="shared" si="188"/>
        <v>1.0042032729898629</v>
      </c>
      <c r="F402" s="327">
        <f t="shared" si="189"/>
        <v>9.1527074525063423E-2</v>
      </c>
      <c r="G402" s="326">
        <f t="shared" si="190"/>
        <v>1</v>
      </c>
      <c r="H402" s="327">
        <f t="shared" si="191"/>
        <v>0</v>
      </c>
      <c r="I402" s="325">
        <f t="shared" si="192"/>
        <v>12050.520583905127</v>
      </c>
      <c r="J402" s="328">
        <f t="shared" si="193"/>
        <v>1.5707133428280062</v>
      </c>
      <c r="K402" s="336">
        <f t="shared" si="183"/>
        <v>8.5819370744587893</v>
      </c>
      <c r="L402" s="337">
        <f t="shared" si="184"/>
        <v>1.4540072036400546</v>
      </c>
      <c r="M402" s="325">
        <f t="shared" si="194"/>
        <v>1.0533151253622484</v>
      </c>
      <c r="N402" s="337">
        <f t="shared" si="195"/>
        <v>0.31952891703961356</v>
      </c>
      <c r="O402" s="343">
        <f t="shared" si="196"/>
        <v>1.0222691497054908</v>
      </c>
      <c r="P402" s="691">
        <f t="shared" si="197"/>
        <v>0.20911045459874783</v>
      </c>
      <c r="Q402" s="336">
        <f t="shared" si="212"/>
        <v>4.4100394454511678</v>
      </c>
      <c r="R402" s="692">
        <f t="shared" si="198"/>
        <v>0.34213212155220402</v>
      </c>
      <c r="S402" s="329">
        <f t="shared" si="199"/>
        <v>0.99039269133449515</v>
      </c>
      <c r="T402" s="330">
        <f t="shared" si="200"/>
        <v>0.21502372317547708</v>
      </c>
      <c r="U402" s="331">
        <f t="shared" si="201"/>
        <v>0.53617643916942137</v>
      </c>
      <c r="V402" s="332">
        <f t="shared" si="202"/>
        <v>-128.95529656683306</v>
      </c>
      <c r="W402" s="334">
        <f t="shared" si="203"/>
        <v>51.044703433166944</v>
      </c>
      <c r="Y402" s="307">
        <f t="shared" si="204"/>
        <v>1000000000</v>
      </c>
      <c r="Z402" s="307">
        <f t="shared" si="205"/>
        <v>1333673880.25</v>
      </c>
      <c r="AB402" s="333">
        <f t="shared" si="206"/>
        <v>34.307648327298224</v>
      </c>
      <c r="AC402" s="334">
        <f t="shared" si="207"/>
        <v>-24.994427626051941</v>
      </c>
      <c r="AE402" s="333">
        <f t="shared" si="208"/>
        <v>-9.0327276761067274</v>
      </c>
      <c r="AF402" s="334">
        <f t="shared" si="209"/>
        <v>-96.339288831844286</v>
      </c>
      <c r="AH402">
        <f t="shared" si="210"/>
        <v>0</v>
      </c>
      <c r="AI402">
        <f t="shared" si="185"/>
        <v>0</v>
      </c>
    </row>
    <row r="403" spans="1:35" x14ac:dyDescent="0.25">
      <c r="A403" s="335">
        <v>36731</v>
      </c>
      <c r="B403" s="352">
        <f t="shared" si="211"/>
        <v>36.731000000000002</v>
      </c>
      <c r="C403" s="325">
        <f t="shared" si="186"/>
        <v>78.242197437988153</v>
      </c>
      <c r="D403" s="326">
        <f t="shared" si="187"/>
        <v>1.5580151516787746</v>
      </c>
      <c r="E403" s="326">
        <f t="shared" si="188"/>
        <v>1.004251996494552</v>
      </c>
      <c r="F403" s="327">
        <f t="shared" si="189"/>
        <v>9.2054165906051269E-2</v>
      </c>
      <c r="G403" s="326">
        <f t="shared" si="190"/>
        <v>1</v>
      </c>
      <c r="H403" s="327">
        <f t="shared" si="191"/>
        <v>0</v>
      </c>
      <c r="I403" s="325">
        <f t="shared" si="192"/>
        <v>12120.310287652313</v>
      </c>
      <c r="J403" s="328">
        <f t="shared" si="193"/>
        <v>1.5707138206562417</v>
      </c>
      <c r="K403" s="336">
        <f t="shared" si="183"/>
        <v>8.6309658098178446</v>
      </c>
      <c r="L403" s="337">
        <f t="shared" si="184"/>
        <v>1.4546736383434111</v>
      </c>
      <c r="M403" s="325">
        <f t="shared" si="194"/>
        <v>1.0539186078202527</v>
      </c>
      <c r="N403" s="337">
        <f t="shared" si="195"/>
        <v>0.32125504660804194</v>
      </c>
      <c r="O403" s="343">
        <f t="shared" si="196"/>
        <v>1.0225249872745212</v>
      </c>
      <c r="P403" s="691">
        <f t="shared" si="197"/>
        <v>0.21028621210578316</v>
      </c>
      <c r="Q403" s="336">
        <f t="shared" si="212"/>
        <v>4.412898357665223</v>
      </c>
      <c r="R403" s="692">
        <f t="shared" si="198"/>
        <v>0.34396320311475764</v>
      </c>
      <c r="S403" s="329">
        <f t="shared" si="199"/>
        <v>0.99028677563116119</v>
      </c>
      <c r="T403" s="330">
        <f t="shared" si="200"/>
        <v>0.2163122469437434</v>
      </c>
      <c r="U403" s="331">
        <f t="shared" si="201"/>
        <v>0.47826873910217182</v>
      </c>
      <c r="V403" s="332">
        <f t="shared" si="202"/>
        <v>-129.10145479119845</v>
      </c>
      <c r="W403" s="334">
        <f t="shared" si="203"/>
        <v>50.898545208801551</v>
      </c>
      <c r="Y403" s="307">
        <f t="shared" si="204"/>
        <v>1000000000</v>
      </c>
      <c r="Z403" s="307">
        <f t="shared" si="205"/>
        <v>1349166361</v>
      </c>
      <c r="AB403" s="333">
        <f t="shared" si="206"/>
        <v>34.301996113111805</v>
      </c>
      <c r="AC403" s="334">
        <f t="shared" si="207"/>
        <v>-25.055171047002876</v>
      </c>
      <c r="AE403" s="333">
        <f t="shared" si="208"/>
        <v>-9.0815276502249311</v>
      </c>
      <c r="AF403" s="334">
        <f t="shared" si="209"/>
        <v>-96.387156332621288</v>
      </c>
      <c r="AH403">
        <f t="shared" si="210"/>
        <v>0</v>
      </c>
      <c r="AI403">
        <f t="shared" si="185"/>
        <v>0</v>
      </c>
    </row>
    <row r="404" spans="1:35" x14ac:dyDescent="0.25">
      <c r="A404" s="335">
        <v>36942.5</v>
      </c>
      <c r="B404" s="352">
        <f t="shared" si="211"/>
        <v>36.942500000000003</v>
      </c>
      <c r="C404" s="325">
        <f t="shared" si="186"/>
        <v>78.692648810121895</v>
      </c>
      <c r="D404" s="326">
        <f t="shared" si="187"/>
        <v>1.558088317454613</v>
      </c>
      <c r="E404" s="326">
        <f t="shared" si="188"/>
        <v>1.0043009989787601</v>
      </c>
      <c r="F404" s="327">
        <f t="shared" si="189"/>
        <v>9.2581205997105828E-2</v>
      </c>
      <c r="G404" s="326">
        <f t="shared" si="190"/>
        <v>1</v>
      </c>
      <c r="H404" s="327">
        <f t="shared" si="191"/>
        <v>0</v>
      </c>
      <c r="I404" s="325">
        <f t="shared" si="192"/>
        <v>12190.099991402234</v>
      </c>
      <c r="J404" s="328">
        <f t="shared" si="193"/>
        <v>1.5707142930132356</v>
      </c>
      <c r="K404" s="336">
        <f t="shared" si="183"/>
        <v>8.6799983351869976</v>
      </c>
      <c r="L404" s="337">
        <f t="shared" si="184"/>
        <v>1.4553325440779601</v>
      </c>
      <c r="M404" s="325">
        <f t="shared" si="194"/>
        <v>1.054525226853726</v>
      </c>
      <c r="N404" s="337">
        <f t="shared" si="195"/>
        <v>0.32297919538551056</v>
      </c>
      <c r="O404" s="343">
        <f t="shared" si="196"/>
        <v>1.0227822376796341</v>
      </c>
      <c r="P404" s="691">
        <f t="shared" si="197"/>
        <v>0.21146137978314322</v>
      </c>
      <c r="Q404" s="336">
        <f t="shared" si="212"/>
        <v>4.4157719123771999</v>
      </c>
      <c r="R404" s="692">
        <f t="shared" si="198"/>
        <v>0.34579191848987778</v>
      </c>
      <c r="S404" s="329">
        <f t="shared" si="199"/>
        <v>0.99018038130110397</v>
      </c>
      <c r="T404" s="330">
        <f t="shared" si="200"/>
        <v>0.2176015183145498</v>
      </c>
      <c r="U404" s="331">
        <f t="shared" si="201"/>
        <v>0.42063038305393152</v>
      </c>
      <c r="V404" s="332">
        <f t="shared" si="202"/>
        <v>-129.247826036238</v>
      </c>
      <c r="W404" s="334">
        <f t="shared" si="203"/>
        <v>50.752173963762004</v>
      </c>
      <c r="Y404" s="307">
        <f t="shared" si="204"/>
        <v>1000000000</v>
      </c>
      <c r="Z404" s="307">
        <f t="shared" si="205"/>
        <v>1364748306.25</v>
      </c>
      <c r="AB404" s="333">
        <f t="shared" si="206"/>
        <v>34.296332406070185</v>
      </c>
      <c r="AC404" s="334">
        <f t="shared" si="207"/>
        <v>-25.116232041649795</v>
      </c>
      <c r="AE404" s="333">
        <f t="shared" si="208"/>
        <v>-9.1300330856526895</v>
      </c>
      <c r="AF404" s="334">
        <f t="shared" si="209"/>
        <v>-96.435021058178947</v>
      </c>
      <c r="AH404">
        <f t="shared" si="210"/>
        <v>0</v>
      </c>
      <c r="AI404">
        <f t="shared" si="185"/>
        <v>0</v>
      </c>
    </row>
    <row r="405" spans="1:35" x14ac:dyDescent="0.25">
      <c r="A405" s="335">
        <v>37154</v>
      </c>
      <c r="B405" s="352">
        <f t="shared" si="211"/>
        <v>37.154000000000003</v>
      </c>
      <c r="C405" s="325">
        <f t="shared" si="186"/>
        <v>79.143100598720252</v>
      </c>
      <c r="D405" s="326">
        <f t="shared" si="187"/>
        <v>1.5581606503684795</v>
      </c>
      <c r="E405" s="326">
        <f t="shared" si="188"/>
        <v>1.0043502804016531</v>
      </c>
      <c r="F405" s="327">
        <f t="shared" si="189"/>
        <v>9.3108194512962844E-2</v>
      </c>
      <c r="G405" s="326">
        <f t="shared" si="190"/>
        <v>1</v>
      </c>
      <c r="H405" s="327">
        <f t="shared" si="191"/>
        <v>0</v>
      </c>
      <c r="I405" s="325">
        <f t="shared" si="192"/>
        <v>12259.889695154845</v>
      </c>
      <c r="J405" s="328">
        <f t="shared" si="193"/>
        <v>1.5707147599924234</v>
      </c>
      <c r="K405" s="336">
        <f t="shared" si="183"/>
        <v>8.7290345866987842</v>
      </c>
      <c r="L405" s="337">
        <f t="shared" si="184"/>
        <v>1.455984047150964</v>
      </c>
      <c r="M405" s="325">
        <f t="shared" si="194"/>
        <v>1.0551349770528211</v>
      </c>
      <c r="N405" s="337">
        <f t="shared" si="195"/>
        <v>0.32470135654656473</v>
      </c>
      <c r="O405" s="343">
        <f t="shared" si="196"/>
        <v>1.0230408998550282</v>
      </c>
      <c r="P405" s="691">
        <f t="shared" si="197"/>
        <v>0.21263595483114903</v>
      </c>
      <c r="Q405" s="336">
        <f t="shared" si="212"/>
        <v>4.4186600810224599</v>
      </c>
      <c r="R405" s="692">
        <f t="shared" si="198"/>
        <v>0.34761826024131243</v>
      </c>
      <c r="S405" s="329">
        <f t="shared" si="199"/>
        <v>0.99007351068525928</v>
      </c>
      <c r="T405" s="330">
        <f t="shared" si="200"/>
        <v>0.21889154153754306</v>
      </c>
      <c r="U405" s="331">
        <f t="shared" si="201"/>
        <v>0.3632579837124843</v>
      </c>
      <c r="V405" s="332">
        <f t="shared" si="202"/>
        <v>-129.39440350244786</v>
      </c>
      <c r="W405" s="334">
        <f t="shared" si="203"/>
        <v>50.605596497552142</v>
      </c>
      <c r="Y405" s="307">
        <f t="shared" si="204"/>
        <v>1000000000</v>
      </c>
      <c r="Z405" s="307">
        <f t="shared" si="205"/>
        <v>1380419716</v>
      </c>
      <c r="AB405" s="333">
        <f t="shared" si="206"/>
        <v>34.290657033888905</v>
      </c>
      <c r="AC405" s="334">
        <f t="shared" si="207"/>
        <v>-25.177602987403333</v>
      </c>
      <c r="AE405" s="333">
        <f t="shared" si="208"/>
        <v>-9.1782472872130469</v>
      </c>
      <c r="AF405" s="334">
        <f t="shared" si="209"/>
        <v>-96.482884097258989</v>
      </c>
      <c r="AH405">
        <f t="shared" si="210"/>
        <v>0</v>
      </c>
      <c r="AI405">
        <f t="shared" si="185"/>
        <v>0</v>
      </c>
    </row>
    <row r="406" spans="1:35" x14ac:dyDescent="0.25">
      <c r="A406" s="335">
        <v>37370.25</v>
      </c>
      <c r="B406" s="352">
        <f t="shared" si="211"/>
        <v>37.370249999999999</v>
      </c>
      <c r="C406" s="325">
        <f t="shared" si="186"/>
        <v>79.603669340084664</v>
      </c>
      <c r="D406" s="326">
        <f t="shared" si="187"/>
        <v>1.5582337613782162</v>
      </c>
      <c r="E406" s="326">
        <f t="shared" si="188"/>
        <v>1.0044009569808618</v>
      </c>
      <c r="F406" s="327">
        <f t="shared" si="189"/>
        <v>9.3646964845658626E-2</v>
      </c>
      <c r="G406" s="326">
        <f t="shared" si="190"/>
        <v>1</v>
      </c>
      <c r="H406" s="327">
        <f t="shared" si="191"/>
        <v>0</v>
      </c>
      <c r="I406" s="325">
        <f t="shared" si="192"/>
        <v>12331.246779963734</v>
      </c>
      <c r="J406" s="328">
        <f t="shared" si="193"/>
        <v>1.570715231994108</v>
      </c>
      <c r="K406" s="336">
        <f t="shared" si="183"/>
        <v>8.7791759127517306</v>
      </c>
      <c r="L406" s="337">
        <f t="shared" si="184"/>
        <v>1.4566426568229245</v>
      </c>
      <c r="M406" s="325">
        <f t="shared" si="194"/>
        <v>1.0557616531916834</v>
      </c>
      <c r="N406" s="337">
        <f t="shared" si="195"/>
        <v>0.32646013296548348</v>
      </c>
      <c r="O406" s="343">
        <f t="shared" si="196"/>
        <v>1.0233068297989554</v>
      </c>
      <c r="P406" s="691">
        <f t="shared" si="197"/>
        <v>0.2138362935743664</v>
      </c>
      <c r="Q406" s="336">
        <f t="shared" si="212"/>
        <v>4.4216281940785391</v>
      </c>
      <c r="R406" s="692">
        <f t="shared" si="198"/>
        <v>0.34948315727932439</v>
      </c>
      <c r="S406" s="329">
        <f t="shared" si="199"/>
        <v>0.9899637499047792</v>
      </c>
      <c r="T406" s="330">
        <f t="shared" si="200"/>
        <v>0.22021131870849303</v>
      </c>
      <c r="U406" s="331">
        <f t="shared" si="201"/>
        <v>0.30486859994533905</v>
      </c>
      <c r="V406" s="332">
        <f t="shared" si="202"/>
        <v>-129.54447919111394</v>
      </c>
      <c r="W406" s="334">
        <f t="shared" si="203"/>
        <v>50.455520808886064</v>
      </c>
      <c r="Y406" s="307">
        <f t="shared" si="204"/>
        <v>1000000000</v>
      </c>
      <c r="Z406" s="307">
        <f t="shared" si="205"/>
        <v>1396535585.0625</v>
      </c>
      <c r="AB406" s="333">
        <f t="shared" si="206"/>
        <v>34.284841967802606</v>
      </c>
      <c r="AC406" s="334">
        <f t="shared" si="207"/>
        <v>-25.240664942541184</v>
      </c>
      <c r="AE406" s="333">
        <f t="shared" si="208"/>
        <v>-9.227246579400731</v>
      </c>
      <c r="AF406" s="334">
        <f t="shared" si="209"/>
        <v>-96.531821445211591</v>
      </c>
      <c r="AH406">
        <f t="shared" si="210"/>
        <v>0</v>
      </c>
      <c r="AI406">
        <f t="shared" si="185"/>
        <v>0</v>
      </c>
    </row>
    <row r="407" spans="1:35" x14ac:dyDescent="0.25">
      <c r="A407" s="335">
        <v>37586.5</v>
      </c>
      <c r="B407" s="352">
        <f t="shared" si="211"/>
        <v>37.586500000000001</v>
      </c>
      <c r="C407" s="325">
        <f t="shared" si="186"/>
        <v>80.064238502052831</v>
      </c>
      <c r="D407" s="326">
        <f t="shared" si="187"/>
        <v>1.5583060312468442</v>
      </c>
      <c r="E407" s="326">
        <f t="shared" si="188"/>
        <v>1.0044519250815553</v>
      </c>
      <c r="F407" s="327">
        <f t="shared" si="189"/>
        <v>9.4185680657931939E-2</v>
      </c>
      <c r="G407" s="326">
        <f t="shared" si="190"/>
        <v>1</v>
      </c>
      <c r="H407" s="327">
        <f t="shared" si="191"/>
        <v>0</v>
      </c>
      <c r="I407" s="325">
        <f t="shared" si="192"/>
        <v>12402.603864775338</v>
      </c>
      <c r="J407" s="328">
        <f t="shared" si="193"/>
        <v>1.5707156985645681</v>
      </c>
      <c r="K407" s="336">
        <f t="shared" ref="K407:K470" si="213">SQRT(1+(A407/Zero2)^2)</f>
        <v>8.8293210036656582</v>
      </c>
      <c r="L407" s="337">
        <f t="shared" ref="L407:L470" si="214">ATAN(A407/Zero2)</f>
        <v>1.4572937857822073</v>
      </c>
      <c r="M407" s="325">
        <f t="shared" si="194"/>
        <v>1.0563915912316872</v>
      </c>
      <c r="N407" s="337">
        <f t="shared" si="195"/>
        <v>0.32821681725712809</v>
      </c>
      <c r="O407" s="343">
        <f t="shared" si="196"/>
        <v>1.0235742333694178</v>
      </c>
      <c r="P407" s="691">
        <f t="shared" si="197"/>
        <v>0.21503600688059377</v>
      </c>
      <c r="Q407" s="336">
        <f t="shared" si="212"/>
        <v>4.4246115242379052</v>
      </c>
      <c r="R407" s="692">
        <f t="shared" si="198"/>
        <v>0.35134555741979107</v>
      </c>
      <c r="S407" s="329">
        <f t="shared" si="199"/>
        <v>0.98985349620120555</v>
      </c>
      <c r="T407" s="330">
        <f t="shared" si="200"/>
        <v>0.22153189086178957</v>
      </c>
      <c r="U407" s="331">
        <f t="shared" si="201"/>
        <v>0.24675029168870249</v>
      </c>
      <c r="V407" s="332">
        <f t="shared" si="202"/>
        <v>-129.6947565640917</v>
      </c>
      <c r="W407" s="334">
        <f t="shared" si="203"/>
        <v>50.305243435908295</v>
      </c>
      <c r="Y407" s="307">
        <f t="shared" si="204"/>
        <v>1000000000</v>
      </c>
      <c r="Z407" s="307">
        <f t="shared" si="205"/>
        <v>1412744982.25</v>
      </c>
      <c r="AB407" s="333">
        <f t="shared" si="206"/>
        <v>34.27901436569654</v>
      </c>
      <c r="AC407" s="334">
        <f t="shared" si="207"/>
        <v>-25.304035329694312</v>
      </c>
      <c r="AE407" s="333">
        <f t="shared" si="208"/>
        <v>-9.2759482198240644</v>
      </c>
      <c r="AF407" s="334">
        <f t="shared" si="209"/>
        <v>-96.580759272252024</v>
      </c>
      <c r="AH407">
        <f t="shared" si="210"/>
        <v>0</v>
      </c>
      <c r="AI407">
        <f t="shared" si="185"/>
        <v>0</v>
      </c>
    </row>
    <row r="408" spans="1:35" x14ac:dyDescent="0.25">
      <c r="A408" s="335">
        <v>37802.75</v>
      </c>
      <c r="B408" s="352">
        <f t="shared" si="211"/>
        <v>37.802750000000003</v>
      </c>
      <c r="C408" s="325">
        <f t="shared" si="186"/>
        <v>80.524808077407684</v>
      </c>
      <c r="D408" s="326">
        <f t="shared" si="187"/>
        <v>1.5583774744065704</v>
      </c>
      <c r="E408" s="326">
        <f t="shared" si="188"/>
        <v>1.0045031846593582</v>
      </c>
      <c r="F408" s="327">
        <f t="shared" si="189"/>
        <v>9.4724341645419208E-2</v>
      </c>
      <c r="G408" s="326">
        <f t="shared" si="190"/>
        <v>1</v>
      </c>
      <c r="H408" s="327">
        <f t="shared" si="191"/>
        <v>0</v>
      </c>
      <c r="I408" s="325">
        <f t="shared" si="192"/>
        <v>12473.960949589609</v>
      </c>
      <c r="J408" s="328">
        <f t="shared" si="193"/>
        <v>1.570716159797011</v>
      </c>
      <c r="K408" s="336">
        <f t="shared" si="213"/>
        <v>8.8794697956565898</v>
      </c>
      <c r="L408" s="337">
        <f t="shared" si="214"/>
        <v>1.4579375602189593</v>
      </c>
      <c r="M408" s="325">
        <f t="shared" si="194"/>
        <v>1.0570247853410049</v>
      </c>
      <c r="N408" s="337">
        <f t="shared" si="195"/>
        <v>0.32997140232961136</v>
      </c>
      <c r="O408" s="343">
        <f t="shared" si="196"/>
        <v>1.0238431094117857</v>
      </c>
      <c r="P408" s="691">
        <f t="shared" si="197"/>
        <v>0.21623509178771394</v>
      </c>
      <c r="Q408" s="336">
        <f t="shared" si="212"/>
        <v>4.4276100407432457</v>
      </c>
      <c r="R408" s="692">
        <f t="shared" si="198"/>
        <v>0.35320545298011852</v>
      </c>
      <c r="S408" s="329">
        <f t="shared" si="199"/>
        <v>0.98974275212433238</v>
      </c>
      <c r="T408" s="330">
        <f t="shared" si="200"/>
        <v>0.22285326253441548</v>
      </c>
      <c r="U408" s="331">
        <f t="shared" si="201"/>
        <v>0.1888996381950348</v>
      </c>
      <c r="V408" s="332">
        <f t="shared" si="202"/>
        <v>-129.84522882405335</v>
      </c>
      <c r="W408" s="334">
        <f t="shared" si="203"/>
        <v>50.154771175946649</v>
      </c>
      <c r="Y408" s="307">
        <f t="shared" si="204"/>
        <v>1000000000</v>
      </c>
      <c r="Z408" s="307">
        <f t="shared" si="205"/>
        <v>1429047907.5625</v>
      </c>
      <c r="AB408" s="333">
        <f t="shared" si="206"/>
        <v>34.273174066445321</v>
      </c>
      <c r="AC408" s="334">
        <f t="shared" si="207"/>
        <v>-25.367706517705074</v>
      </c>
      <c r="AE408" s="333">
        <f t="shared" si="208"/>
        <v>-9.3243555642902862</v>
      </c>
      <c r="AF408" s="334">
        <f t="shared" si="209"/>
        <v>-96.629698682673563</v>
      </c>
      <c r="AH408">
        <f t="shared" si="210"/>
        <v>0</v>
      </c>
      <c r="AI408">
        <f t="shared" si="185"/>
        <v>0</v>
      </c>
    </row>
    <row r="409" spans="1:35" x14ac:dyDescent="0.25">
      <c r="A409" s="335">
        <v>38019</v>
      </c>
      <c r="B409" s="352">
        <f t="shared" si="211"/>
        <v>38.018999999999998</v>
      </c>
      <c r="C409" s="325">
        <f t="shared" si="186"/>
        <v>80.985378059096348</v>
      </c>
      <c r="D409" s="326">
        <f t="shared" si="187"/>
        <v>1.5584481049613277</v>
      </c>
      <c r="E409" s="326">
        <f t="shared" si="188"/>
        <v>1.0045547356696507</v>
      </c>
      <c r="F409" s="327">
        <f t="shared" si="189"/>
        <v>9.5262947503946052E-2</v>
      </c>
      <c r="G409" s="326">
        <f t="shared" si="190"/>
        <v>1</v>
      </c>
      <c r="H409" s="327">
        <f t="shared" si="191"/>
        <v>0</v>
      </c>
      <c r="I409" s="325">
        <f t="shared" si="192"/>
        <v>12545.318034406509</v>
      </c>
      <c r="J409" s="328">
        <f t="shared" si="193"/>
        <v>1.5707166157825241</v>
      </c>
      <c r="K409" s="336">
        <f t="shared" si="213"/>
        <v>8.929622226368739</v>
      </c>
      <c r="L409" s="337">
        <f t="shared" si="214"/>
        <v>1.4585741035130848</v>
      </c>
      <c r="M409" s="325">
        <f t="shared" si="194"/>
        <v>1.0576612296716654</v>
      </c>
      <c r="N409" s="337">
        <f t="shared" si="195"/>
        <v>0.33172388115968571</v>
      </c>
      <c r="O409" s="343">
        <f t="shared" si="196"/>
        <v>1.0241134567662882</v>
      </c>
      <c r="P409" s="691">
        <f t="shared" si="197"/>
        <v>0.21743354534394027</v>
      </c>
      <c r="Q409" s="336">
        <f t="shared" si="212"/>
        <v>4.4306237127641594</v>
      </c>
      <c r="R409" s="692">
        <f t="shared" si="198"/>
        <v>0.35506283636713243</v>
      </c>
      <c r="S409" s="329">
        <f t="shared" si="199"/>
        <v>0.98963152024002832</v>
      </c>
      <c r="T409" s="330">
        <f t="shared" si="200"/>
        <v>0.22417543826144309</v>
      </c>
      <c r="U409" s="331">
        <f t="shared" si="201"/>
        <v>0.13131328289835761</v>
      </c>
      <c r="V409" s="332">
        <f t="shared" si="202"/>
        <v>-129.99588932409981</v>
      </c>
      <c r="W409" s="334">
        <f t="shared" si="203"/>
        <v>50.004110675900193</v>
      </c>
      <c r="Y409" s="307">
        <f t="shared" si="204"/>
        <v>1000000000</v>
      </c>
      <c r="Z409" s="307">
        <f t="shared" si="205"/>
        <v>1445444361</v>
      </c>
      <c r="AB409" s="333">
        <f t="shared" si="206"/>
        <v>34.267320916175436</v>
      </c>
      <c r="AC409" s="334">
        <f t="shared" si="207"/>
        <v>-25.431671040242112</v>
      </c>
      <c r="AE409" s="333">
        <f t="shared" si="208"/>
        <v>-9.3724719117341273</v>
      </c>
      <c r="AF409" s="334">
        <f t="shared" si="209"/>
        <v>-96.67864076184047</v>
      </c>
      <c r="AH409">
        <f t="shared" si="210"/>
        <v>0</v>
      </c>
      <c r="AI409">
        <f t="shared" si="185"/>
        <v>0</v>
      </c>
    </row>
    <row r="410" spans="1:35" x14ac:dyDescent="0.25">
      <c r="A410" s="335">
        <v>38240.5</v>
      </c>
      <c r="B410" s="352">
        <f t="shared" si="211"/>
        <v>38.240499999999997</v>
      </c>
      <c r="C410" s="325">
        <f t="shared" si="186"/>
        <v>81.457129922595996</v>
      </c>
      <c r="D410" s="326">
        <f t="shared" si="187"/>
        <v>1.5585196222145707</v>
      </c>
      <c r="E410" s="326">
        <f t="shared" si="188"/>
        <v>1.0046078402917049</v>
      </c>
      <c r="F410" s="327">
        <f t="shared" si="189"/>
        <v>9.5814571872367332E-2</v>
      </c>
      <c r="G410" s="326">
        <f t="shared" si="190"/>
        <v>1</v>
      </c>
      <c r="H410" s="327">
        <f t="shared" si="191"/>
        <v>0</v>
      </c>
      <c r="I410" s="325">
        <f t="shared" si="192"/>
        <v>12618.407487759207</v>
      </c>
      <c r="J410" s="328">
        <f t="shared" si="193"/>
        <v>1.570717077491685</v>
      </c>
      <c r="K410" s="336">
        <f t="shared" si="213"/>
        <v>8.9809959391368892</v>
      </c>
      <c r="L410" s="337">
        <f t="shared" si="214"/>
        <v>1.4592187299265946</v>
      </c>
      <c r="M410" s="325">
        <f t="shared" si="194"/>
        <v>1.0583164886633605</v>
      </c>
      <c r="N410" s="337">
        <f t="shared" si="195"/>
        <v>0.33351671488628643</v>
      </c>
      <c r="O410" s="343">
        <f t="shared" si="196"/>
        <v>1.0243918915748116</v>
      </c>
      <c r="P410" s="691">
        <f t="shared" si="197"/>
        <v>0.21866043670206092</v>
      </c>
      <c r="Q410" s="336">
        <f t="shared" si="212"/>
        <v>4.4337262286684931</v>
      </c>
      <c r="R410" s="692">
        <f t="shared" si="198"/>
        <v>0.3569627000596417</v>
      </c>
      <c r="S410" s="329">
        <f t="shared" si="199"/>
        <v>0.98951708491171741</v>
      </c>
      <c r="T410" s="330">
        <f t="shared" si="200"/>
        <v>0.22553055136187267</v>
      </c>
      <c r="U410" s="331">
        <f t="shared" si="201"/>
        <v>7.2599436082556146E-2</v>
      </c>
      <c r="V410" s="332">
        <f t="shared" si="202"/>
        <v>-130.15039583580199</v>
      </c>
      <c r="W410" s="334">
        <f t="shared" si="203"/>
        <v>49.849604164198013</v>
      </c>
      <c r="Y410" s="307">
        <f t="shared" si="204"/>
        <v>1000000000</v>
      </c>
      <c r="Z410" s="307">
        <f t="shared" si="205"/>
        <v>1462335840.25</v>
      </c>
      <c r="AB410" s="333">
        <f t="shared" si="206"/>
        <v>34.261312190069624</v>
      </c>
      <c r="AC410" s="334">
        <f t="shared" si="207"/>
        <v>-25.49748492734976</v>
      </c>
      <c r="AE410" s="333">
        <f t="shared" si="208"/>
        <v>-9.4214581112231492</v>
      </c>
      <c r="AF410" s="334">
        <f t="shared" si="209"/>
        <v>-96.72877491190134</v>
      </c>
      <c r="AH410">
        <f t="shared" si="210"/>
        <v>0</v>
      </c>
      <c r="AI410">
        <f t="shared" ref="AI410:AI473" si="215">IF(AH410&gt;0,W410,0)</f>
        <v>0</v>
      </c>
    </row>
    <row r="411" spans="1:35" x14ac:dyDescent="0.25">
      <c r="A411" s="335">
        <v>38462</v>
      </c>
      <c r="B411" s="352">
        <f t="shared" si="211"/>
        <v>38.462000000000003</v>
      </c>
      <c r="C411" s="325">
        <f t="shared" si="186"/>
        <v>81.928882197927905</v>
      </c>
      <c r="D411" s="326">
        <f t="shared" si="187"/>
        <v>1.5585903158654073</v>
      </c>
      <c r="E411" s="326">
        <f t="shared" si="188"/>
        <v>1.0046612505729495</v>
      </c>
      <c r="F411" s="327">
        <f t="shared" si="189"/>
        <v>9.6366137757173176E-2</v>
      </c>
      <c r="G411" s="326">
        <f t="shared" si="190"/>
        <v>1</v>
      </c>
      <c r="H411" s="327">
        <f t="shared" si="191"/>
        <v>0</v>
      </c>
      <c r="I411" s="325">
        <f t="shared" si="192"/>
        <v>12691.496941114561</v>
      </c>
      <c r="J411" s="328">
        <f t="shared" si="193"/>
        <v>1.5707175338829436</v>
      </c>
      <c r="K411" s="336">
        <f t="shared" si="213"/>
        <v>9.0323733414429146</v>
      </c>
      <c r="L411" s="337">
        <f t="shared" si="214"/>
        <v>1.4598560231521027</v>
      </c>
      <c r="M411" s="325">
        <f t="shared" si="194"/>
        <v>1.0589751451356724</v>
      </c>
      <c r="N411" s="337">
        <f t="shared" si="195"/>
        <v>0.33530732416551673</v>
      </c>
      <c r="O411" s="343">
        <f t="shared" si="196"/>
        <v>1.0246718675225774</v>
      </c>
      <c r="P411" s="691">
        <f t="shared" si="197"/>
        <v>0.21988665944645619</v>
      </c>
      <c r="Q411" s="336">
        <f t="shared" si="212"/>
        <v>4.4368445791899633</v>
      </c>
      <c r="R411" s="692">
        <f t="shared" si="198"/>
        <v>0.35885991228072323</v>
      </c>
      <c r="S411" s="329">
        <f t="shared" si="199"/>
        <v>0.9894021433040876</v>
      </c>
      <c r="T411" s="330">
        <f t="shared" si="200"/>
        <v>0.22688651765650775</v>
      </c>
      <c r="U411" s="331">
        <f t="shared" si="201"/>
        <v>1.4155947465395481E-2</v>
      </c>
      <c r="V411" s="332">
        <f t="shared" si="202"/>
        <v>-130.30508618905952</v>
      </c>
      <c r="W411" s="334">
        <f t="shared" si="203"/>
        <v>49.694913810940477</v>
      </c>
      <c r="Y411" s="307">
        <f t="shared" si="204"/>
        <v>1000000000</v>
      </c>
      <c r="Z411" s="307">
        <f t="shared" si="205"/>
        <v>1479325444</v>
      </c>
      <c r="AB411" s="333">
        <f t="shared" si="206"/>
        <v>34.255289676888637</v>
      </c>
      <c r="AC411" s="334">
        <f t="shared" si="207"/>
        <v>-25.563591219041189</v>
      </c>
      <c r="AE411" s="333">
        <f t="shared" si="208"/>
        <v>-9.4701458416459481</v>
      </c>
      <c r="AF411" s="334">
        <f t="shared" si="209"/>
        <v>-96.778914108311753</v>
      </c>
      <c r="AH411">
        <f t="shared" si="210"/>
        <v>38462</v>
      </c>
      <c r="AI411">
        <f t="shared" si="215"/>
        <v>49.694913810940477</v>
      </c>
    </row>
    <row r="412" spans="1:35" x14ac:dyDescent="0.25">
      <c r="A412" s="335">
        <v>38683.5</v>
      </c>
      <c r="B412" s="352">
        <f t="shared" si="211"/>
        <v>38.683500000000002</v>
      </c>
      <c r="C412" s="325">
        <f t="shared" si="186"/>
        <v>82.400634878018678</v>
      </c>
      <c r="D412" s="326">
        <f t="shared" si="187"/>
        <v>1.558660200058767</v>
      </c>
      <c r="E412" s="326">
        <f t="shared" si="188"/>
        <v>1.0047149664646378</v>
      </c>
      <c r="F412" s="327">
        <f t="shared" si="189"/>
        <v>9.6917644832117206E-2</v>
      </c>
      <c r="G412" s="326">
        <f t="shared" si="190"/>
        <v>1</v>
      </c>
      <c r="H412" s="327">
        <f t="shared" si="191"/>
        <v>0</v>
      </c>
      <c r="I412" s="325">
        <f t="shared" si="192"/>
        <v>12764.58639447253</v>
      </c>
      <c r="J412" s="328">
        <f t="shared" si="193"/>
        <v>1.57071798504765</v>
      </c>
      <c r="K412" s="336">
        <f t="shared" si="213"/>
        <v>9.083754370683117</v>
      </c>
      <c r="L412" s="337">
        <f t="shared" si="214"/>
        <v>1.4604861071050643</v>
      </c>
      <c r="M412" s="325">
        <f t="shared" si="194"/>
        <v>1.0596371927531141</v>
      </c>
      <c r="N412" s="337">
        <f t="shared" si="195"/>
        <v>0.33709570167378128</v>
      </c>
      <c r="O412" s="343">
        <f t="shared" si="196"/>
        <v>1.0249533833466546</v>
      </c>
      <c r="P412" s="691">
        <f t="shared" si="197"/>
        <v>0.22111221043900653</v>
      </c>
      <c r="Q412" s="336">
        <f t="shared" si="212"/>
        <v>4.4399787309678338</v>
      </c>
      <c r="R412" s="692">
        <f t="shared" si="198"/>
        <v>0.3607544651615287</v>
      </c>
      <c r="S412" s="329">
        <f t="shared" si="199"/>
        <v>0.98928669822705306</v>
      </c>
      <c r="T412" s="330">
        <f t="shared" si="200"/>
        <v>0.22824334201233804</v>
      </c>
      <c r="U412" s="331">
        <f t="shared" si="201"/>
        <v>-4.4020590492995448E-2</v>
      </c>
      <c r="V412" s="332">
        <f t="shared" si="202"/>
        <v>-130.45995370660734</v>
      </c>
      <c r="W412" s="334">
        <f t="shared" si="203"/>
        <v>49.540046293392663</v>
      </c>
      <c r="Y412" s="307">
        <f t="shared" si="204"/>
        <v>38683.5</v>
      </c>
      <c r="Z412" s="307">
        <f t="shared" si="205"/>
        <v>1496413172.25</v>
      </c>
      <c r="AB412" s="333">
        <f t="shared" si="206"/>
        <v>34.249253233391485</v>
      </c>
      <c r="AC412" s="334">
        <f t="shared" si="207"/>
        <v>-25.629982401106663</v>
      </c>
      <c r="AE412" s="333">
        <f t="shared" si="208"/>
        <v>-9.5185384708746508</v>
      </c>
      <c r="AF412" s="334">
        <f t="shared" si="209"/>
        <v>-96.829059459066968</v>
      </c>
      <c r="AH412">
        <f t="shared" si="210"/>
        <v>0</v>
      </c>
      <c r="AI412">
        <f t="shared" si="215"/>
        <v>0</v>
      </c>
    </row>
    <row r="413" spans="1:35" x14ac:dyDescent="0.25">
      <c r="A413" s="335">
        <v>38905</v>
      </c>
      <c r="B413" s="352">
        <f t="shared" si="211"/>
        <v>38.905000000000001</v>
      </c>
      <c r="C413" s="325">
        <f t="shared" si="186"/>
        <v>82.872387955956057</v>
      </c>
      <c r="D413" s="326">
        <f t="shared" si="187"/>
        <v>1.5587292886175306</v>
      </c>
      <c r="E413" s="326">
        <f t="shared" si="188"/>
        <v>1.0047689879177553</v>
      </c>
      <c r="F413" s="327">
        <f t="shared" si="189"/>
        <v>9.746909277116568E-2</v>
      </c>
      <c r="G413" s="326">
        <f t="shared" si="190"/>
        <v>1</v>
      </c>
      <c r="H413" s="327">
        <f t="shared" si="191"/>
        <v>0</v>
      </c>
      <c r="I413" s="325">
        <f t="shared" si="192"/>
        <v>12837.675847833068</v>
      </c>
      <c r="J413" s="328">
        <f t="shared" si="193"/>
        <v>1.5707184310750744</v>
      </c>
      <c r="K413" s="336">
        <f t="shared" si="213"/>
        <v>9.1351389656578998</v>
      </c>
      <c r="L413" s="337">
        <f t="shared" si="214"/>
        <v>1.4611091029360608</v>
      </c>
      <c r="M413" s="325">
        <f t="shared" si="194"/>
        <v>1.0603026251634438</v>
      </c>
      <c r="N413" s="337">
        <f t="shared" si="195"/>
        <v>0.33888184016283174</v>
      </c>
      <c r="O413" s="343">
        <f t="shared" si="196"/>
        <v>1.0252364377785566</v>
      </c>
      <c r="P413" s="691">
        <f t="shared" si="197"/>
        <v>0.2223370865531013</v>
      </c>
      <c r="Q413" s="336">
        <f t="shared" si="212"/>
        <v>4.4431286505666945</v>
      </c>
      <c r="R413" s="692">
        <f t="shared" si="198"/>
        <v>0.36264635093101338</v>
      </c>
      <c r="S413" s="329">
        <f t="shared" si="199"/>
        <v>0.98917075250831787</v>
      </c>
      <c r="T413" s="330">
        <f t="shared" si="200"/>
        <v>0.22960102929409165</v>
      </c>
      <c r="U413" s="331">
        <f t="shared" si="201"/>
        <v>-0.10193352124649629</v>
      </c>
      <c r="V413" s="332">
        <f t="shared" si="202"/>
        <v>-130.61499186014413</v>
      </c>
      <c r="W413" s="334">
        <f t="shared" si="203"/>
        <v>49.38500813985587</v>
      </c>
      <c r="Y413" s="307">
        <f t="shared" si="204"/>
        <v>38905</v>
      </c>
      <c r="Z413" s="307">
        <f t="shared" si="205"/>
        <v>1513599025</v>
      </c>
      <c r="AB413" s="333">
        <f t="shared" si="206"/>
        <v>34.243202723305174</v>
      </c>
      <c r="AC413" s="334">
        <f t="shared" si="207"/>
        <v>-25.696651121949927</v>
      </c>
      <c r="AE413" s="333">
        <f t="shared" si="208"/>
        <v>-9.5666393097016726</v>
      </c>
      <c r="AF413" s="334">
        <f t="shared" si="209"/>
        <v>-96.87921205356848</v>
      </c>
      <c r="AH413">
        <f t="shared" si="210"/>
        <v>0</v>
      </c>
      <c r="AI413">
        <f t="shared" si="215"/>
        <v>0</v>
      </c>
    </row>
    <row r="414" spans="1:35" x14ac:dyDescent="0.25">
      <c r="A414" s="335">
        <v>39131.5</v>
      </c>
      <c r="B414" s="352">
        <f t="shared" si="211"/>
        <v>39.131500000000003</v>
      </c>
      <c r="C414" s="325">
        <f t="shared" si="186"/>
        <v>83.354790491952613</v>
      </c>
      <c r="D414" s="326">
        <f t="shared" si="187"/>
        <v>1.5587991280340681</v>
      </c>
      <c r="E414" s="326">
        <f t="shared" si="188"/>
        <v>1.0048245447510213</v>
      </c>
      <c r="F414" s="327">
        <f t="shared" si="189"/>
        <v>9.8032927252180241E-2</v>
      </c>
      <c r="G414" s="326">
        <f t="shared" si="190"/>
        <v>1</v>
      </c>
      <c r="H414" s="327">
        <f t="shared" si="191"/>
        <v>0</v>
      </c>
      <c r="I414" s="325">
        <f t="shared" si="192"/>
        <v>12912.415175989909</v>
      </c>
      <c r="J414" s="328">
        <f t="shared" si="193"/>
        <v>1.5707188819491904</v>
      </c>
      <c r="K414" s="336">
        <f t="shared" si="213"/>
        <v>9.1876871088152932</v>
      </c>
      <c r="L414" s="337">
        <f t="shared" si="214"/>
        <v>1.4617389553560767</v>
      </c>
      <c r="M414" s="325">
        <f t="shared" si="194"/>
        <v>1.0609865722502487</v>
      </c>
      <c r="N414" s="337">
        <f t="shared" si="195"/>
        <v>0.34070597492913235</v>
      </c>
      <c r="O414" s="343">
        <f t="shared" si="196"/>
        <v>1.0255274714707561</v>
      </c>
      <c r="P414" s="691">
        <f t="shared" si="197"/>
        <v>0.22358891109355411</v>
      </c>
      <c r="Q414" s="336">
        <f t="shared" si="212"/>
        <v>4.4463659452699247</v>
      </c>
      <c r="R414" s="692">
        <f t="shared" si="198"/>
        <v>0.36457817683186355</v>
      </c>
      <c r="S414" s="329">
        <f t="shared" si="199"/>
        <v>0.98905167474857136</v>
      </c>
      <c r="T414" s="330">
        <f t="shared" si="200"/>
        <v>0.23099026157489788</v>
      </c>
      <c r="U414" s="331">
        <f t="shared" si="201"/>
        <v>-0.1608845595173487</v>
      </c>
      <c r="V414" s="332">
        <f t="shared" si="202"/>
        <v>-130.77369955367109</v>
      </c>
      <c r="W414" s="334">
        <f t="shared" si="203"/>
        <v>49.226300446328906</v>
      </c>
      <c r="Y414" s="307">
        <f t="shared" si="204"/>
        <v>39131.5</v>
      </c>
      <c r="Z414" s="307">
        <f t="shared" si="205"/>
        <v>1531274292.25</v>
      </c>
      <c r="AB414" s="333">
        <f t="shared" si="206"/>
        <v>34.237000951461184</v>
      </c>
      <c r="AC414" s="334">
        <f t="shared" si="207"/>
        <v>-25.765104293201183</v>
      </c>
      <c r="AE414" s="333">
        <f t="shared" si="208"/>
        <v>-9.6155275925272186</v>
      </c>
      <c r="AF414" s="334">
        <f t="shared" si="209"/>
        <v>-96.930505367785784</v>
      </c>
      <c r="AH414">
        <f t="shared" si="210"/>
        <v>0</v>
      </c>
      <c r="AI414">
        <f t="shared" si="215"/>
        <v>0</v>
      </c>
    </row>
    <row r="415" spans="1:35" x14ac:dyDescent="0.25">
      <c r="A415" s="335">
        <v>39358</v>
      </c>
      <c r="B415" s="352">
        <f t="shared" si="211"/>
        <v>39.357999999999997</v>
      </c>
      <c r="C415" s="325">
        <f t="shared" si="186"/>
        <v>83.837193429837029</v>
      </c>
      <c r="D415" s="326">
        <f t="shared" si="187"/>
        <v>1.5588681637327244</v>
      </c>
      <c r="E415" s="326">
        <f t="shared" si="188"/>
        <v>1.0048804209919959</v>
      </c>
      <c r="F415" s="327">
        <f t="shared" si="189"/>
        <v>9.8596699208525276E-2</v>
      </c>
      <c r="G415" s="326">
        <f t="shared" si="190"/>
        <v>1</v>
      </c>
      <c r="H415" s="327">
        <f t="shared" si="191"/>
        <v>0</v>
      </c>
      <c r="I415" s="325">
        <f t="shared" si="192"/>
        <v>12987.154504149343</v>
      </c>
      <c r="J415" s="328">
        <f t="shared" si="193"/>
        <v>1.5707193276338665</v>
      </c>
      <c r="K415" s="336">
        <f t="shared" si="213"/>
        <v>9.2402388554005483</v>
      </c>
      <c r="L415" s="337">
        <f t="shared" si="214"/>
        <v>1.4623616437374198</v>
      </c>
      <c r="M415" s="325">
        <f t="shared" si="194"/>
        <v>1.0616740451800215</v>
      </c>
      <c r="N415" s="337">
        <f t="shared" si="195"/>
        <v>0.34252775336232666</v>
      </c>
      <c r="O415" s="343">
        <f t="shared" si="196"/>
        <v>1.0258201113174887</v>
      </c>
      <c r="P415" s="691">
        <f t="shared" si="197"/>
        <v>0.22484002336756476</v>
      </c>
      <c r="Q415" s="336">
        <f t="shared" si="212"/>
        <v>4.4496196567483999</v>
      </c>
      <c r="R415" s="692">
        <f t="shared" si="198"/>
        <v>0.36650719772813095</v>
      </c>
      <c r="S415" s="329">
        <f t="shared" si="199"/>
        <v>0.98893207952708184</v>
      </c>
      <c r="T415" s="330">
        <f t="shared" si="200"/>
        <v>0.23238040646069452</v>
      </c>
      <c r="U415" s="331">
        <f t="shared" si="201"/>
        <v>-0.21956682785513981</v>
      </c>
      <c r="V415" s="332">
        <f t="shared" si="202"/>
        <v>-130.93257232721177</v>
      </c>
      <c r="W415" s="334">
        <f t="shared" si="203"/>
        <v>49.067427672788227</v>
      </c>
      <c r="Y415" s="307">
        <f t="shared" si="204"/>
        <v>39358</v>
      </c>
      <c r="Z415" s="307">
        <f t="shared" si="205"/>
        <v>1549052164</v>
      </c>
      <c r="AB415" s="333">
        <f t="shared" si="206"/>
        <v>34.23078420390295</v>
      </c>
      <c r="AC415" s="334">
        <f t="shared" si="207"/>
        <v>-25.833832628357836</v>
      </c>
      <c r="AE415" s="333">
        <f t="shared" si="208"/>
        <v>-9.6641175878116776</v>
      </c>
      <c r="AF415" s="334">
        <f t="shared" si="209"/>
        <v>-96.981808503174605</v>
      </c>
      <c r="AH415">
        <f t="shared" si="210"/>
        <v>0</v>
      </c>
      <c r="AI415">
        <f t="shared" si="215"/>
        <v>0</v>
      </c>
    </row>
    <row r="416" spans="1:35" x14ac:dyDescent="0.25">
      <c r="A416" s="335">
        <v>39584.5</v>
      </c>
      <c r="B416" s="352">
        <f t="shared" si="211"/>
        <v>39.584499999999998</v>
      </c>
      <c r="C416" s="325">
        <f t="shared" si="186"/>
        <v>84.319596762711555</v>
      </c>
      <c r="D416" s="326">
        <f t="shared" si="187"/>
        <v>1.5589364095073579</v>
      </c>
      <c r="E416" s="326">
        <f t="shared" si="188"/>
        <v>1.0049366165873999</v>
      </c>
      <c r="F416" s="327">
        <f t="shared" si="189"/>
        <v>9.9160408292283023E-2</v>
      </c>
      <c r="G416" s="326">
        <f t="shared" si="190"/>
        <v>1</v>
      </c>
      <c r="H416" s="327">
        <f t="shared" si="191"/>
        <v>0</v>
      </c>
      <c r="I416" s="325">
        <f t="shared" si="192"/>
        <v>13061.893832311329</v>
      </c>
      <c r="J416" s="328">
        <f t="shared" si="193"/>
        <v>1.5707197682181837</v>
      </c>
      <c r="K416" s="336">
        <f t="shared" si="213"/>
        <v>9.2927941442803572</v>
      </c>
      <c r="L416" s="337">
        <f t="shared" si="214"/>
        <v>1.4629772891414756</v>
      </c>
      <c r="M416" s="325">
        <f t="shared" si="194"/>
        <v>1.0623650371078788</v>
      </c>
      <c r="N416" s="337">
        <f t="shared" si="195"/>
        <v>0.34434716795613091</v>
      </c>
      <c r="O416" s="343">
        <f t="shared" si="196"/>
        <v>1.0261143559445667</v>
      </c>
      <c r="P416" s="691">
        <f t="shared" si="197"/>
        <v>0.22609042006952715</v>
      </c>
      <c r="Q416" s="336">
        <f t="shared" si="212"/>
        <v>4.452889749018194</v>
      </c>
      <c r="R416" s="692">
        <f t="shared" si="198"/>
        <v>0.36843340562665278</v>
      </c>
      <c r="S416" s="329">
        <f t="shared" si="199"/>
        <v>0.98881196992527443</v>
      </c>
      <c r="T416" s="330">
        <f t="shared" si="200"/>
        <v>0.23377146914553046</v>
      </c>
      <c r="U416" s="331">
        <f t="shared" si="201"/>
        <v>-0.2779837032615276</v>
      </c>
      <c r="V416" s="332">
        <f t="shared" si="202"/>
        <v>-131.09160365876923</v>
      </c>
      <c r="W416" s="334">
        <f t="shared" si="203"/>
        <v>48.90839634123077</v>
      </c>
      <c r="Y416" s="307">
        <f t="shared" si="204"/>
        <v>39584.5</v>
      </c>
      <c r="Z416" s="307">
        <f t="shared" si="205"/>
        <v>1566932640.25</v>
      </c>
      <c r="AB416" s="333">
        <f t="shared" si="206"/>
        <v>34.224552356038473</v>
      </c>
      <c r="AC416" s="334">
        <f t="shared" si="207"/>
        <v>-25.902828766139052</v>
      </c>
      <c r="AE416" s="333">
        <f t="shared" si="208"/>
        <v>-9.7124126588363549</v>
      </c>
      <c r="AF416" s="334">
        <f t="shared" si="209"/>
        <v>-97.033122567596067</v>
      </c>
      <c r="AH416">
        <f t="shared" si="210"/>
        <v>0</v>
      </c>
      <c r="AI416">
        <f t="shared" si="215"/>
        <v>0</v>
      </c>
    </row>
    <row r="417" spans="1:35" x14ac:dyDescent="0.25">
      <c r="A417" s="335">
        <v>39811</v>
      </c>
      <c r="B417" s="352">
        <f t="shared" si="211"/>
        <v>39.811</v>
      </c>
      <c r="C417" s="325">
        <f t="shared" si="186"/>
        <v>84.8020004838354</v>
      </c>
      <c r="D417" s="326">
        <f t="shared" si="187"/>
        <v>1.5590038788379865</v>
      </c>
      <c r="E417" s="326">
        <f t="shared" si="188"/>
        <v>1.004993131483662</v>
      </c>
      <c r="F417" s="327">
        <f t="shared" si="189"/>
        <v>9.9724054155773179E-2</v>
      </c>
      <c r="G417" s="326">
        <f t="shared" si="190"/>
        <v>1</v>
      </c>
      <c r="H417" s="327">
        <f t="shared" si="191"/>
        <v>0</v>
      </c>
      <c r="I417" s="325">
        <f t="shared" si="192"/>
        <v>13136.633160475822</v>
      </c>
      <c r="J417" s="328">
        <f t="shared" si="193"/>
        <v>1.5707202037891956</v>
      </c>
      <c r="K417" s="336">
        <f t="shared" si="213"/>
        <v>9.3453529156925068</v>
      </c>
      <c r="L417" s="337">
        <f t="shared" si="214"/>
        <v>1.4635860099278371</v>
      </c>
      <c r="M417" s="325">
        <f t="shared" si="194"/>
        <v>1.0630595411717425</v>
      </c>
      <c r="N417" s="337">
        <f t="shared" si="195"/>
        <v>0.34616421128632718</v>
      </c>
      <c r="O417" s="343">
        <f t="shared" si="196"/>
        <v>1.0264102039718452</v>
      </c>
      <c r="P417" s="691">
        <f t="shared" si="197"/>
        <v>0.22734009790656579</v>
      </c>
      <c r="Q417" s="336">
        <f t="shared" si="212"/>
        <v>4.456176186020115</v>
      </c>
      <c r="R417" s="692">
        <f t="shared" si="198"/>
        <v>0.37035679264039095</v>
      </c>
      <c r="S417" s="329">
        <f t="shared" si="199"/>
        <v>0.98869134904413591</v>
      </c>
      <c r="T417" s="330">
        <f t="shared" si="200"/>
        <v>0.23516345482079445</v>
      </c>
      <c r="U417" s="331">
        <f t="shared" si="201"/>
        <v>-0.3361384991710652</v>
      </c>
      <c r="V417" s="332">
        <f t="shared" si="202"/>
        <v>-131.25078717293701</v>
      </c>
      <c r="W417" s="334">
        <f t="shared" si="203"/>
        <v>48.749212827062991</v>
      </c>
      <c r="Y417" s="307">
        <f t="shared" si="204"/>
        <v>39811</v>
      </c>
      <c r="Z417" s="307">
        <f t="shared" si="205"/>
        <v>1584915721</v>
      </c>
      <c r="AB417" s="333">
        <f t="shared" si="206"/>
        <v>34.218305289923222</v>
      </c>
      <c r="AC417" s="334">
        <f t="shared" si="207"/>
        <v>-25.972085504651101</v>
      </c>
      <c r="AE417" s="333">
        <f t="shared" si="208"/>
        <v>-9.7604161119777757</v>
      </c>
      <c r="AF417" s="334">
        <f t="shared" si="209"/>
        <v>-97.084448650763605</v>
      </c>
      <c r="AH417">
        <f t="shared" si="210"/>
        <v>0</v>
      </c>
      <c r="AI417">
        <f t="shared" si="215"/>
        <v>0</v>
      </c>
    </row>
    <row r="418" spans="1:35" x14ac:dyDescent="0.25">
      <c r="A418" s="335">
        <v>40042.75</v>
      </c>
      <c r="B418" s="352">
        <f t="shared" si="211"/>
        <v>40.042749999999998</v>
      </c>
      <c r="C418" s="325">
        <f t="shared" si="186"/>
        <v>85.295586143145513</v>
      </c>
      <c r="D418" s="326">
        <f t="shared" si="187"/>
        <v>1.5590721221193462</v>
      </c>
      <c r="E418" s="326">
        <f t="shared" si="188"/>
        <v>1.0050512867598183</v>
      </c>
      <c r="F418" s="327">
        <f t="shared" si="189"/>
        <v>0.10030069886078528</v>
      </c>
      <c r="G418" s="326">
        <f t="shared" si="190"/>
        <v>1</v>
      </c>
      <c r="H418" s="327">
        <f t="shared" si="191"/>
        <v>0</v>
      </c>
      <c r="I418" s="325">
        <f t="shared" si="192"/>
        <v>13213.104857176475</v>
      </c>
      <c r="J418" s="328">
        <f t="shared" si="193"/>
        <v>1.5707206443560024</v>
      </c>
      <c r="K418" s="336">
        <f t="shared" si="213"/>
        <v>9.3991334803866415</v>
      </c>
      <c r="L418" s="337">
        <f t="shared" si="214"/>
        <v>1.4642017935993239</v>
      </c>
      <c r="M418" s="325">
        <f t="shared" si="194"/>
        <v>1.0637737710269555</v>
      </c>
      <c r="N418" s="337">
        <f t="shared" si="195"/>
        <v>0.34802090951199655</v>
      </c>
      <c r="O418" s="343">
        <f t="shared" si="196"/>
        <v>1.0267145675362546</v>
      </c>
      <c r="P418" s="691">
        <f t="shared" si="197"/>
        <v>0.2286179943133177</v>
      </c>
      <c r="Q418" s="336">
        <f t="shared" si="212"/>
        <v>4.4595556784257999</v>
      </c>
      <c r="R418" s="692">
        <f t="shared" si="198"/>
        <v>0.37232183363730437</v>
      </c>
      <c r="S418" s="329">
        <f t="shared" si="199"/>
        <v>0.98856740637680063</v>
      </c>
      <c r="T418" s="330">
        <f t="shared" si="200"/>
        <v>0.23658866580573867</v>
      </c>
      <c r="U418" s="331">
        <f t="shared" si="201"/>
        <v>-0.395373382935722</v>
      </c>
      <c r="V418" s="332">
        <f t="shared" si="202"/>
        <v>-131.4138113858437</v>
      </c>
      <c r="W418" s="334">
        <f t="shared" si="203"/>
        <v>48.586188614156299</v>
      </c>
      <c r="Y418" s="307">
        <f t="shared" si="204"/>
        <v>40042.75</v>
      </c>
      <c r="Z418" s="307">
        <f t="shared" si="205"/>
        <v>1603421827.5625</v>
      </c>
      <c r="AB418" s="333">
        <f t="shared" si="206"/>
        <v>34.211897556530985</v>
      </c>
      <c r="AC418" s="334">
        <f t="shared" si="207"/>
        <v>-26.043209914042013</v>
      </c>
      <c r="AE418" s="333">
        <f t="shared" si="208"/>
        <v>-9.809233783017584</v>
      </c>
      <c r="AF418" s="334">
        <f t="shared" si="209"/>
        <v>-97.13697796930289</v>
      </c>
      <c r="AH418">
        <f t="shared" si="210"/>
        <v>0</v>
      </c>
      <c r="AI418">
        <f t="shared" si="215"/>
        <v>0</v>
      </c>
    </row>
    <row r="419" spans="1:35" x14ac:dyDescent="0.25">
      <c r="A419" s="335">
        <v>40274.5</v>
      </c>
      <c r="B419" s="352">
        <f t="shared" si="211"/>
        <v>40.274500000000003</v>
      </c>
      <c r="C419" s="325">
        <f t="shared" si="186"/>
        <v>85.789172195118638</v>
      </c>
      <c r="D419" s="326">
        <f t="shared" si="187"/>
        <v>1.5591395801286814</v>
      </c>
      <c r="E419" s="326">
        <f t="shared" si="188"/>
        <v>1.0051097761960019</v>
      </c>
      <c r="F419" s="327">
        <f t="shared" si="189"/>
        <v>0.10087727664518358</v>
      </c>
      <c r="G419" s="326">
        <f t="shared" si="190"/>
        <v>1</v>
      </c>
      <c r="H419" s="327">
        <f t="shared" si="191"/>
        <v>0</v>
      </c>
      <c r="I419" s="325">
        <f t="shared" si="192"/>
        <v>13289.576553879668</v>
      </c>
      <c r="J419" s="328">
        <f t="shared" si="193"/>
        <v>1.5707210798525362</v>
      </c>
      <c r="K419" s="336">
        <f t="shared" si="213"/>
        <v>9.452917568579009</v>
      </c>
      <c r="L419" s="337">
        <f t="shared" si="214"/>
        <v>1.4648105702738041</v>
      </c>
      <c r="M419" s="325">
        <f t="shared" si="194"/>
        <v>1.0644916631311778</v>
      </c>
      <c r="N419" s="337">
        <f t="shared" si="195"/>
        <v>0.34987510981171449</v>
      </c>
      <c r="O419" s="343">
        <f t="shared" si="196"/>
        <v>1.0270206067499292</v>
      </c>
      <c r="P419" s="691">
        <f t="shared" si="197"/>
        <v>0.22989513121053698</v>
      </c>
      <c r="Q419" s="336">
        <f t="shared" si="212"/>
        <v>4.4629522054379667</v>
      </c>
      <c r="R419" s="692">
        <f t="shared" si="198"/>
        <v>0.37428390509845016</v>
      </c>
      <c r="S419" s="329">
        <f t="shared" si="199"/>
        <v>0.98844293508464665</v>
      </c>
      <c r="T419" s="330">
        <f t="shared" si="200"/>
        <v>0.23801485405154099</v>
      </c>
      <c r="U419" s="331">
        <f t="shared" si="201"/>
        <v>-0.45434071779302149</v>
      </c>
      <c r="V419" s="332">
        <f t="shared" si="202"/>
        <v>-131.57698186822907</v>
      </c>
      <c r="W419" s="334">
        <f t="shared" si="203"/>
        <v>48.423018131770931</v>
      </c>
      <c r="Y419" s="307">
        <f t="shared" si="204"/>
        <v>40274.5</v>
      </c>
      <c r="Z419" s="307">
        <f t="shared" si="205"/>
        <v>1622035350.25</v>
      </c>
      <c r="AB419" s="333">
        <f t="shared" si="206"/>
        <v>34.205473661777319</v>
      </c>
      <c r="AC419" s="334">
        <f t="shared" si="207"/>
        <v>-26.114592383668956</v>
      </c>
      <c r="AE419" s="333">
        <f t="shared" si="208"/>
        <v>-9.8577529869947043</v>
      </c>
      <c r="AF419" s="334">
        <f t="shared" si="209"/>
        <v>-97.189522122260811</v>
      </c>
      <c r="AH419">
        <f t="shared" si="210"/>
        <v>0</v>
      </c>
      <c r="AI419">
        <f t="shared" si="215"/>
        <v>0</v>
      </c>
    </row>
    <row r="420" spans="1:35" x14ac:dyDescent="0.25">
      <c r="A420" s="335">
        <v>40506.25</v>
      </c>
      <c r="B420" s="352">
        <f t="shared" si="211"/>
        <v>40.506250000000001</v>
      </c>
      <c r="C420" s="325">
        <f t="shared" si="186"/>
        <v>86.282758633016002</v>
      </c>
      <c r="D420" s="326">
        <f t="shared" si="187"/>
        <v>1.5592062663419799</v>
      </c>
      <c r="E420" s="326">
        <f t="shared" si="188"/>
        <v>1.0051685997338797</v>
      </c>
      <c r="F420" s="327">
        <f t="shared" si="189"/>
        <v>0.10145378713732642</v>
      </c>
      <c r="G420" s="326">
        <f t="shared" si="190"/>
        <v>1</v>
      </c>
      <c r="H420" s="327">
        <f t="shared" si="191"/>
        <v>0</v>
      </c>
      <c r="I420" s="325">
        <f t="shared" si="192"/>
        <v>13366.048250585351</v>
      </c>
      <c r="J420" s="328">
        <f t="shared" si="193"/>
        <v>1.5707215103658232</v>
      </c>
      <c r="K420" s="336">
        <f t="shared" si="213"/>
        <v>9.5067051204671387</v>
      </c>
      <c r="L420" s="337">
        <f t="shared" si="214"/>
        <v>1.4654124584298713</v>
      </c>
      <c r="M420" s="325">
        <f t="shared" si="194"/>
        <v>1.0652132100799776</v>
      </c>
      <c r="N420" s="337">
        <f t="shared" si="195"/>
        <v>0.35172680449908106</v>
      </c>
      <c r="O420" s="343">
        <f t="shared" si="196"/>
        <v>1.0273283201153505</v>
      </c>
      <c r="P420" s="691">
        <f t="shared" si="197"/>
        <v>0.23117150511264073</v>
      </c>
      <c r="Q420" s="336">
        <f t="shared" si="212"/>
        <v>4.4663657281972213</v>
      </c>
      <c r="R420" s="692">
        <f t="shared" si="198"/>
        <v>0.37624299891902341</v>
      </c>
      <c r="S420" s="329">
        <f t="shared" si="199"/>
        <v>0.98831793855310213</v>
      </c>
      <c r="T420" s="330">
        <f t="shared" si="200"/>
        <v>0.23944202511004239</v>
      </c>
      <c r="U420" s="331">
        <f t="shared" si="201"/>
        <v>-0.51304385613253967</v>
      </c>
      <c r="V420" s="332">
        <f t="shared" si="202"/>
        <v>-131.74029224320347</v>
      </c>
      <c r="W420" s="334">
        <f t="shared" si="203"/>
        <v>48.25970775679653</v>
      </c>
      <c r="Y420" s="307">
        <f t="shared" si="204"/>
        <v>40506.25</v>
      </c>
      <c r="Z420" s="307">
        <f t="shared" si="205"/>
        <v>1640756289.0625</v>
      </c>
      <c r="AB420" s="333">
        <f t="shared" si="206"/>
        <v>34.199033499509085</v>
      </c>
      <c r="AC420" s="334">
        <f t="shared" si="207"/>
        <v>-26.186225689796519</v>
      </c>
      <c r="AE420" s="333">
        <f t="shared" si="208"/>
        <v>-9.9059770889274006</v>
      </c>
      <c r="AF420" s="334">
        <f t="shared" si="209"/>
        <v>-97.242082221145125</v>
      </c>
      <c r="AH420">
        <f t="shared" si="210"/>
        <v>0</v>
      </c>
      <c r="AI420">
        <f t="shared" si="215"/>
        <v>0</v>
      </c>
    </row>
    <row r="421" spans="1:35" x14ac:dyDescent="0.25">
      <c r="A421" s="335">
        <v>40738</v>
      </c>
      <c r="B421" s="352">
        <f t="shared" si="211"/>
        <v>40.738</v>
      </c>
      <c r="C421" s="325">
        <f t="shared" si="186"/>
        <v>86.776345450252151</v>
      </c>
      <c r="D421" s="326">
        <f t="shared" si="187"/>
        <v>1.5592721939286502</v>
      </c>
      <c r="E421" s="326">
        <f t="shared" si="188"/>
        <v>1.0052277573147992</v>
      </c>
      <c r="F421" s="327">
        <f t="shared" si="189"/>
        <v>0.10203022996583794</v>
      </c>
      <c r="G421" s="326">
        <f t="shared" si="190"/>
        <v>1</v>
      </c>
      <c r="H421" s="327">
        <f t="shared" si="191"/>
        <v>0</v>
      </c>
      <c r="I421" s="325">
        <f t="shared" si="192"/>
        <v>13442.519947293482</v>
      </c>
      <c r="J421" s="328">
        <f t="shared" si="193"/>
        <v>1.570721935980909</v>
      </c>
      <c r="K421" s="336">
        <f t="shared" si="213"/>
        <v>9.5604960775905568</v>
      </c>
      <c r="L421" s="337">
        <f t="shared" si="214"/>
        <v>1.4660075738999208</v>
      </c>
      <c r="M421" s="325">
        <f t="shared" si="194"/>
        <v>1.0659384044513258</v>
      </c>
      <c r="N421" s="337">
        <f t="shared" si="195"/>
        <v>0.35357598597718431</v>
      </c>
      <c r="O421" s="343">
        <f t="shared" si="196"/>
        <v>1.0276377061286068</v>
      </c>
      <c r="P421" s="691">
        <f t="shared" si="197"/>
        <v>0.23244711254815356</v>
      </c>
      <c r="Q421" s="336">
        <f t="shared" si="212"/>
        <v>4.469796207768729</v>
      </c>
      <c r="R421" s="692">
        <f t="shared" si="198"/>
        <v>0.37819910710948879</v>
      </c>
      <c r="S421" s="329">
        <f t="shared" si="199"/>
        <v>0.98819242018915909</v>
      </c>
      <c r="T421" s="330">
        <f t="shared" si="200"/>
        <v>0.24087018452994785</v>
      </c>
      <c r="U421" s="331">
        <f t="shared" si="201"/>
        <v>-0.57148608713893556</v>
      </c>
      <c r="V421" s="332">
        <f t="shared" si="202"/>
        <v>-131.90373627854277</v>
      </c>
      <c r="W421" s="334">
        <f t="shared" si="203"/>
        <v>48.096263721457234</v>
      </c>
      <c r="Y421" s="307">
        <f t="shared" si="204"/>
        <v>40738</v>
      </c>
      <c r="Z421" s="307">
        <f t="shared" si="205"/>
        <v>1659584644</v>
      </c>
      <c r="AB421" s="333">
        <f t="shared" si="206"/>
        <v>34.1925769699263</v>
      </c>
      <c r="AC421" s="334">
        <f t="shared" si="207"/>
        <v>-26.258102765319066</v>
      </c>
      <c r="AE421" s="333">
        <f t="shared" si="208"/>
        <v>-9.953909396969113</v>
      </c>
      <c r="AF421" s="334">
        <f t="shared" si="209"/>
        <v>-97.294659359703047</v>
      </c>
      <c r="AH421">
        <f t="shared" si="210"/>
        <v>0</v>
      </c>
      <c r="AI421">
        <f t="shared" si="215"/>
        <v>0</v>
      </c>
    </row>
    <row r="422" spans="1:35" x14ac:dyDescent="0.25">
      <c r="A422" s="335">
        <v>40975.25</v>
      </c>
      <c r="B422" s="352">
        <f t="shared" si="211"/>
        <v>40.975250000000003</v>
      </c>
      <c r="C422" s="325">
        <f t="shared" si="186"/>
        <v>87.281646688216156</v>
      </c>
      <c r="D422" s="326">
        <f t="shared" si="187"/>
        <v>1.5593389137304257</v>
      </c>
      <c r="E422" s="326">
        <f t="shared" si="188"/>
        <v>1.0052886648182933</v>
      </c>
      <c r="F422" s="327">
        <f t="shared" si="189"/>
        <v>0.10262028272778859</v>
      </c>
      <c r="G422" s="326">
        <f t="shared" si="190"/>
        <v>1</v>
      </c>
      <c r="H422" s="327">
        <f t="shared" si="191"/>
        <v>0</v>
      </c>
      <c r="I422" s="325">
        <f t="shared" si="192"/>
        <v>13520.806506277657</v>
      </c>
      <c r="J422" s="328">
        <f t="shared" si="193"/>
        <v>1.5707223667097163</v>
      </c>
      <c r="K422" s="336">
        <f t="shared" si="213"/>
        <v>9.6155670947573331</v>
      </c>
      <c r="L422" s="337">
        <f t="shared" si="214"/>
        <v>1.4666099154737562</v>
      </c>
      <c r="M422" s="325">
        <f t="shared" si="194"/>
        <v>1.066684580002512</v>
      </c>
      <c r="N422" s="337">
        <f t="shared" si="195"/>
        <v>0.35546644187794607</v>
      </c>
      <c r="O422" s="343">
        <f t="shared" si="196"/>
        <v>1.0279561657223442</v>
      </c>
      <c r="P422" s="691">
        <f t="shared" si="197"/>
        <v>0.23375219572200626</v>
      </c>
      <c r="Q422" s="336">
        <f t="shared" si="212"/>
        <v>4.4733256255947502</v>
      </c>
      <c r="R422" s="692">
        <f t="shared" si="198"/>
        <v>0.3801985376031729</v>
      </c>
      <c r="S422" s="329">
        <f t="shared" si="199"/>
        <v>0.9880633859882918</v>
      </c>
      <c r="T422" s="330">
        <f t="shared" si="200"/>
        <v>0.24233326731495683</v>
      </c>
      <c r="U422" s="331">
        <f t="shared" si="201"/>
        <v>-0.63104839725966344</v>
      </c>
      <c r="V422" s="332">
        <f t="shared" si="202"/>
        <v>-132.0711913418437</v>
      </c>
      <c r="W422" s="334">
        <f t="shared" si="203"/>
        <v>47.928808658156299</v>
      </c>
      <c r="Y422" s="307">
        <f t="shared" si="204"/>
        <v>40975.25</v>
      </c>
      <c r="Z422" s="307">
        <f t="shared" si="205"/>
        <v>1678971112.5625</v>
      </c>
      <c r="AB422" s="333">
        <f t="shared" si="206"/>
        <v>34.185950158615874</v>
      </c>
      <c r="AC422" s="334">
        <f t="shared" si="207"/>
        <v>-26.331930958809412</v>
      </c>
      <c r="AE422" s="333">
        <f t="shared" si="208"/>
        <v>-10.002680389142977</v>
      </c>
      <c r="AF422" s="334">
        <f t="shared" si="209"/>
        <v>-97.348503058525694</v>
      </c>
      <c r="AH422">
        <f t="shared" si="210"/>
        <v>0</v>
      </c>
      <c r="AI422">
        <f t="shared" si="215"/>
        <v>0</v>
      </c>
    </row>
    <row r="423" spans="1:35" x14ac:dyDescent="0.25">
      <c r="A423" s="335">
        <v>41212.5</v>
      </c>
      <c r="B423" s="352">
        <f t="shared" si="211"/>
        <v>41.212499999999999</v>
      </c>
      <c r="C423" s="325">
        <f t="shared" si="186"/>
        <v>87.78694831024437</v>
      </c>
      <c r="D423" s="326">
        <f t="shared" si="187"/>
        <v>1.5594048654542136</v>
      </c>
      <c r="E423" s="326">
        <f t="shared" si="188"/>
        <v>1.0053499222828826</v>
      </c>
      <c r="F423" s="327">
        <f t="shared" si="189"/>
        <v>0.10321026378954452</v>
      </c>
      <c r="G423" s="326">
        <f t="shared" si="190"/>
        <v>1</v>
      </c>
      <c r="H423" s="327">
        <f t="shared" si="191"/>
        <v>0</v>
      </c>
      <c r="I423" s="325">
        <f t="shared" si="192"/>
        <v>13599.093065264309</v>
      </c>
      <c r="J423" s="328">
        <f t="shared" si="193"/>
        <v>1.5707227924793286</v>
      </c>
      <c r="K423" s="336">
        <f t="shared" si="213"/>
        <v>9.6706415608652794</v>
      </c>
      <c r="L423" s="337">
        <f t="shared" si="214"/>
        <v>1.4672053965708369</v>
      </c>
      <c r="M423" s="325">
        <f t="shared" si="194"/>
        <v>1.0674345623585375</v>
      </c>
      <c r="N423" s="337">
        <f t="shared" si="195"/>
        <v>0.35735424803884902</v>
      </c>
      <c r="O423" s="343">
        <f t="shared" si="196"/>
        <v>1.0282763750880617</v>
      </c>
      <c r="P423" s="691">
        <f t="shared" si="197"/>
        <v>0.23505646829998642</v>
      </c>
      <c r="Q423" s="336">
        <f t="shared" si="212"/>
        <v>4.4768727318250701</v>
      </c>
      <c r="R423" s="692">
        <f t="shared" si="198"/>
        <v>0.38219482249603237</v>
      </c>
      <c r="S423" s="329">
        <f t="shared" si="199"/>
        <v>0.9879338121877308</v>
      </c>
      <c r="T423" s="330">
        <f t="shared" si="200"/>
        <v>0.2437973976886498</v>
      </c>
      <c r="U423" s="331">
        <f t="shared" si="201"/>
        <v>-0.69034404882435285</v>
      </c>
      <c r="V423" s="332">
        <f t="shared" si="202"/>
        <v>-132.23877371542966</v>
      </c>
      <c r="W423" s="334">
        <f t="shared" si="203"/>
        <v>47.761226284570341</v>
      </c>
      <c r="Y423" s="307">
        <f t="shared" si="204"/>
        <v>41212.5</v>
      </c>
      <c r="Z423" s="307">
        <f t="shared" si="205"/>
        <v>1698470156.25</v>
      </c>
      <c r="AB423" s="333">
        <f t="shared" si="206"/>
        <v>34.179306001714934</v>
      </c>
      <c r="AC423" s="334">
        <f t="shared" si="207"/>
        <v>-26.406000125611861</v>
      </c>
      <c r="AE423" s="333">
        <f t="shared" si="208"/>
        <v>-10.051152412420928</v>
      </c>
      <c r="AF423" s="334">
        <f t="shared" si="209"/>
        <v>-97.40236688025017</v>
      </c>
      <c r="AH423">
        <f t="shared" si="210"/>
        <v>0</v>
      </c>
      <c r="AI423">
        <f t="shared" si="215"/>
        <v>0</v>
      </c>
    </row>
    <row r="424" spans="1:35" x14ac:dyDescent="0.25">
      <c r="A424" s="335">
        <v>41449.75</v>
      </c>
      <c r="B424" s="352">
        <f t="shared" si="211"/>
        <v>41.449750000000002</v>
      </c>
      <c r="C424" s="325">
        <f t="shared" si="186"/>
        <v>88.292250309742698</v>
      </c>
      <c r="D424" s="326">
        <f t="shared" si="187"/>
        <v>1.5594700622867086</v>
      </c>
      <c r="E424" s="326">
        <f t="shared" si="188"/>
        <v>1.0054115296446005</v>
      </c>
      <c r="F424" s="327">
        <f t="shared" si="189"/>
        <v>0.1038001727535306</v>
      </c>
      <c r="G424" s="326">
        <f t="shared" si="190"/>
        <v>1</v>
      </c>
      <c r="H424" s="327">
        <f t="shared" si="191"/>
        <v>0</v>
      </c>
      <c r="I424" s="325">
        <f t="shared" si="192"/>
        <v>13677.379624253399</v>
      </c>
      <c r="J424" s="328">
        <f t="shared" si="193"/>
        <v>1.5707232133749023</v>
      </c>
      <c r="K424" s="336">
        <f t="shared" si="213"/>
        <v>9.7257194173227646</v>
      </c>
      <c r="L424" s="337">
        <f t="shared" si="214"/>
        <v>1.4677941333202047</v>
      </c>
      <c r="M424" s="325">
        <f t="shared" si="194"/>
        <v>1.0681883435010513</v>
      </c>
      <c r="N424" s="337">
        <f t="shared" si="195"/>
        <v>0.3592393965997327</v>
      </c>
      <c r="O424" s="343">
        <f t="shared" si="196"/>
        <v>1.028598332591613</v>
      </c>
      <c r="P424" s="691">
        <f t="shared" si="197"/>
        <v>0.2363599266037392</v>
      </c>
      <c r="Q424" s="336">
        <f t="shared" si="212"/>
        <v>4.4804374844523576</v>
      </c>
      <c r="R424" s="692">
        <f t="shared" si="198"/>
        <v>0.38418795358961105</v>
      </c>
      <c r="S424" s="329">
        <f t="shared" si="199"/>
        <v>0.98780370251327954</v>
      </c>
      <c r="T424" s="330">
        <f t="shared" si="200"/>
        <v>0.24526258159363978</v>
      </c>
      <c r="U424" s="331">
        <f t="shared" si="201"/>
        <v>-0.74937637472212892</v>
      </c>
      <c r="V424" s="332">
        <f t="shared" si="202"/>
        <v>-132.40647715994672</v>
      </c>
      <c r="W424" s="334">
        <f t="shared" si="203"/>
        <v>47.593522840053282</v>
      </c>
      <c r="Y424" s="307">
        <f t="shared" si="204"/>
        <v>41449.75</v>
      </c>
      <c r="Z424" s="307">
        <f t="shared" si="205"/>
        <v>1718081775.0625</v>
      </c>
      <c r="AB424" s="333">
        <f t="shared" si="206"/>
        <v>34.172644411468355</v>
      </c>
      <c r="AC424" s="334">
        <f t="shared" si="207"/>
        <v>-26.480303166547529</v>
      </c>
      <c r="AE424" s="333">
        <f t="shared" si="208"/>
        <v>-10.099328839273671</v>
      </c>
      <c r="AF424" s="334">
        <f t="shared" si="209"/>
        <v>-97.456251943684421</v>
      </c>
      <c r="AH424">
        <f t="shared" si="210"/>
        <v>0</v>
      </c>
      <c r="AI424">
        <f t="shared" si="215"/>
        <v>0</v>
      </c>
    </row>
    <row r="425" spans="1:35" x14ac:dyDescent="0.25">
      <c r="A425" s="335">
        <v>41687</v>
      </c>
      <c r="B425" s="352">
        <f t="shared" si="211"/>
        <v>41.686999999999998</v>
      </c>
      <c r="C425" s="325">
        <f t="shared" si="186"/>
        <v>88.797552680267216</v>
      </c>
      <c r="D425" s="326">
        <f t="shared" si="187"/>
        <v>1.5595345171144757</v>
      </c>
      <c r="E425" s="326">
        <f t="shared" si="188"/>
        <v>1.0054734868391302</v>
      </c>
      <c r="F425" s="327">
        <f t="shared" si="189"/>
        <v>0.10439000922246952</v>
      </c>
      <c r="G425" s="326">
        <f t="shared" si="190"/>
        <v>1</v>
      </c>
      <c r="H425" s="327">
        <f t="shared" si="191"/>
        <v>0</v>
      </c>
      <c r="I425" s="325">
        <f t="shared" si="192"/>
        <v>13755.666183244884</v>
      </c>
      <c r="J425" s="328">
        <f t="shared" si="193"/>
        <v>1.5707236294796552</v>
      </c>
      <c r="K425" s="336">
        <f t="shared" si="213"/>
        <v>9.7808006068543616</v>
      </c>
      <c r="L425" s="337">
        <f t="shared" si="214"/>
        <v>1.4683762392538935</v>
      </c>
      <c r="M425" s="325">
        <f t="shared" si="194"/>
        <v>1.0689459153937622</v>
      </c>
      <c r="N425" s="337">
        <f t="shared" si="195"/>
        <v>0.36112187979810717</v>
      </c>
      <c r="O425" s="343">
        <f t="shared" si="196"/>
        <v>1.0289220365919816</v>
      </c>
      <c r="P425" s="691">
        <f t="shared" si="197"/>
        <v>0.23766256697056873</v>
      </c>
      <c r="Q425" s="336">
        <f t="shared" si="212"/>
        <v>4.4840198413942165</v>
      </c>
      <c r="R425" s="692">
        <f t="shared" si="198"/>
        <v>0.38617792281074736</v>
      </c>
      <c r="S425" s="329">
        <f t="shared" si="199"/>
        <v>0.98767306071456773</v>
      </c>
      <c r="T425" s="330">
        <f t="shared" si="200"/>
        <v>0.24672882496883497</v>
      </c>
      <c r="U425" s="331">
        <f t="shared" si="201"/>
        <v>-0.80814864486344673</v>
      </c>
      <c r="V425" s="332">
        <f t="shared" si="202"/>
        <v>-132.57429557918019</v>
      </c>
      <c r="W425" s="334">
        <f t="shared" si="203"/>
        <v>47.425704420819812</v>
      </c>
      <c r="Y425" s="307">
        <f t="shared" si="204"/>
        <v>41687</v>
      </c>
      <c r="Z425" s="307">
        <f t="shared" si="205"/>
        <v>1737805969</v>
      </c>
      <c r="AB425" s="333">
        <f t="shared" si="206"/>
        <v>34.165965306201365</v>
      </c>
      <c r="AC425" s="334">
        <f t="shared" si="207"/>
        <v>-26.554833136720116</v>
      </c>
      <c r="AE425" s="333">
        <f t="shared" si="208"/>
        <v>-10.147212985227181</v>
      </c>
      <c r="AF425" s="334">
        <f t="shared" si="209"/>
        <v>-97.510159350210913</v>
      </c>
      <c r="AH425">
        <f t="shared" si="210"/>
        <v>0</v>
      </c>
      <c r="AI425">
        <f t="shared" si="215"/>
        <v>0</v>
      </c>
    </row>
    <row r="426" spans="1:35" x14ac:dyDescent="0.25">
      <c r="A426" s="335">
        <v>41929.75</v>
      </c>
      <c r="B426" s="352">
        <f t="shared" si="211"/>
        <v>41.929749999999999</v>
      </c>
      <c r="C426" s="325">
        <f t="shared" si="186"/>
        <v>89.314569497957677</v>
      </c>
      <c r="D426" s="326">
        <f t="shared" si="187"/>
        <v>1.5595997112823332</v>
      </c>
      <c r="E426" s="326">
        <f t="shared" si="188"/>
        <v>1.0055372423680105</v>
      </c>
      <c r="F426" s="327">
        <f t="shared" si="189"/>
        <v>0.10499344400621227</v>
      </c>
      <c r="G426" s="326">
        <f t="shared" si="190"/>
        <v>1</v>
      </c>
      <c r="H426" s="327">
        <f t="shared" si="191"/>
        <v>0</v>
      </c>
      <c r="I426" s="325">
        <f t="shared" si="192"/>
        <v>13835.767604512581</v>
      </c>
      <c r="J426" s="328">
        <f t="shared" si="193"/>
        <v>1.5707240503567939</v>
      </c>
      <c r="K426" s="336">
        <f t="shared" si="213"/>
        <v>9.8371620963631301</v>
      </c>
      <c r="L426" s="337">
        <f t="shared" si="214"/>
        <v>1.46896509233638</v>
      </c>
      <c r="M426" s="325">
        <f t="shared" si="194"/>
        <v>1.0697249647288298</v>
      </c>
      <c r="N426" s="337">
        <f t="shared" si="195"/>
        <v>0.36304523652451104</v>
      </c>
      <c r="O426" s="343">
        <f t="shared" si="196"/>
        <v>1.0292550507736928</v>
      </c>
      <c r="P426" s="691">
        <f t="shared" si="197"/>
        <v>0.2389945551304021</v>
      </c>
      <c r="Q426" s="336">
        <f t="shared" si="212"/>
        <v>4.4877034228365824</v>
      </c>
      <c r="R426" s="692">
        <f t="shared" si="198"/>
        <v>0.38821074312886727</v>
      </c>
      <c r="S426" s="329">
        <f t="shared" si="199"/>
        <v>0.98753884350386512</v>
      </c>
      <c r="T426" s="330">
        <f t="shared" si="200"/>
        <v>0.24823016202054213</v>
      </c>
      <c r="U426" s="331">
        <f t="shared" si="201"/>
        <v>-0.86801756873655189</v>
      </c>
      <c r="V426" s="332">
        <f t="shared" si="202"/>
        <v>-132.74611720625506</v>
      </c>
      <c r="W426" s="334">
        <f t="shared" si="203"/>
        <v>47.253882793744935</v>
      </c>
      <c r="Y426" s="307">
        <f t="shared" si="204"/>
        <v>41929.75</v>
      </c>
      <c r="Z426" s="307">
        <f t="shared" si="205"/>
        <v>1758103935.0625</v>
      </c>
      <c r="AB426" s="333">
        <f t="shared" si="206"/>
        <v>34.159113156118458</v>
      </c>
      <c r="AC426" s="334">
        <f t="shared" si="207"/>
        <v>-26.631318677832549</v>
      </c>
      <c r="AE426" s="333">
        <f t="shared" si="208"/>
        <v>-10.195908072484263</v>
      </c>
      <c r="AF426" s="334">
        <f t="shared" si="209"/>
        <v>-97.56534071131064</v>
      </c>
      <c r="AH426">
        <f t="shared" si="210"/>
        <v>0</v>
      </c>
      <c r="AI426">
        <f t="shared" si="215"/>
        <v>0</v>
      </c>
    </row>
    <row r="427" spans="1:35" x14ac:dyDescent="0.25">
      <c r="A427" s="335">
        <v>42172.5</v>
      </c>
      <c r="B427" s="352">
        <f t="shared" si="211"/>
        <v>42.172499999999999</v>
      </c>
      <c r="C427" s="325">
        <f t="shared" si="186"/>
        <v>89.83158669089039</v>
      </c>
      <c r="D427" s="326">
        <f t="shared" si="187"/>
        <v>1.5596641550127397</v>
      </c>
      <c r="E427" s="326">
        <f t="shared" si="188"/>
        <v>1.0056013640002186</v>
      </c>
      <c r="F427" s="327">
        <f t="shared" si="189"/>
        <v>0.10559680205424327</v>
      </c>
      <c r="G427" s="326">
        <f t="shared" si="190"/>
        <v>1</v>
      </c>
      <c r="H427" s="327">
        <f t="shared" si="191"/>
        <v>0</v>
      </c>
      <c r="I427" s="325">
        <f t="shared" si="192"/>
        <v>13915.8690257827</v>
      </c>
      <c r="J427" s="328">
        <f t="shared" si="193"/>
        <v>1.5707244663886937</v>
      </c>
      <c r="K427" s="336">
        <f t="shared" si="213"/>
        <v>9.8935269580232497</v>
      </c>
      <c r="L427" s="337">
        <f t="shared" si="214"/>
        <v>1.4695472360555437</v>
      </c>
      <c r="M427" s="325">
        <f t="shared" si="194"/>
        <v>1.0705079655304404</v>
      </c>
      <c r="N427" s="337">
        <f t="shared" si="195"/>
        <v>0.36496578674836594</v>
      </c>
      <c r="O427" s="343">
        <f t="shared" si="196"/>
        <v>1.029589889868785</v>
      </c>
      <c r="P427" s="691">
        <f t="shared" si="197"/>
        <v>0.24032567928293358</v>
      </c>
      <c r="Q427" s="336">
        <f t="shared" si="212"/>
        <v>4.4914053449054556</v>
      </c>
      <c r="R427" s="692">
        <f t="shared" si="198"/>
        <v>0.39024023657693885</v>
      </c>
      <c r="S427" s="329">
        <f t="shared" si="199"/>
        <v>0.98740407722973111</v>
      </c>
      <c r="T427" s="330">
        <f t="shared" si="200"/>
        <v>0.2497326208006137</v>
      </c>
      <c r="U427" s="331">
        <f t="shared" si="201"/>
        <v>-0.92762097019110479</v>
      </c>
      <c r="V427" s="332">
        <f t="shared" si="202"/>
        <v>-132.91804673156258</v>
      </c>
      <c r="W427" s="334">
        <f t="shared" si="203"/>
        <v>47.081953268437417</v>
      </c>
      <c r="Y427" s="307">
        <f t="shared" si="204"/>
        <v>42172.5</v>
      </c>
      <c r="Z427" s="307">
        <f t="shared" si="205"/>
        <v>1778519756.25</v>
      </c>
      <c r="AB427" s="333">
        <f t="shared" si="206"/>
        <v>34.152242515145694</v>
      </c>
      <c r="AC427" s="334">
        <f t="shared" si="207"/>
        <v>-26.708027558783876</v>
      </c>
      <c r="AE427" s="333">
        <f t="shared" si="208"/>
        <v>-10.244304015803454</v>
      </c>
      <c r="AF427" s="334">
        <f t="shared" si="209"/>
        <v>-97.620547742445154</v>
      </c>
      <c r="AH427">
        <f t="shared" si="210"/>
        <v>0</v>
      </c>
      <c r="AI427">
        <f t="shared" si="215"/>
        <v>0</v>
      </c>
    </row>
    <row r="428" spans="1:35" x14ac:dyDescent="0.25">
      <c r="A428" s="335">
        <v>42415.25</v>
      </c>
      <c r="B428" s="352">
        <f t="shared" si="211"/>
        <v>42.41525</v>
      </c>
      <c r="C428" s="325">
        <f t="shared" si="186"/>
        <v>90.348604252623417</v>
      </c>
      <c r="D428" s="326">
        <f t="shared" si="187"/>
        <v>1.5597278611882319</v>
      </c>
      <c r="E428" s="326">
        <f t="shared" si="188"/>
        <v>1.0056658516657264</v>
      </c>
      <c r="F428" s="327">
        <f t="shared" si="189"/>
        <v>0.10620008294198874</v>
      </c>
      <c r="G428" s="326">
        <f t="shared" si="190"/>
        <v>1</v>
      </c>
      <c r="H428" s="327">
        <f t="shared" si="191"/>
        <v>0</v>
      </c>
      <c r="I428" s="325">
        <f t="shared" si="192"/>
        <v>13995.970447055202</v>
      </c>
      <c r="J428" s="328">
        <f t="shared" si="193"/>
        <v>1.5707248776585445</v>
      </c>
      <c r="K428" s="336">
        <f t="shared" si="213"/>
        <v>9.9498951345263258</v>
      </c>
      <c r="L428" s="337">
        <f t="shared" si="214"/>
        <v>1.4701227840431432</v>
      </c>
      <c r="M428" s="325">
        <f t="shared" si="194"/>
        <v>1.0712949091343089</v>
      </c>
      <c r="N428" s="337">
        <f t="shared" si="195"/>
        <v>0.36688352247104788</v>
      </c>
      <c r="O428" s="343">
        <f t="shared" si="196"/>
        <v>1.0299265520973668</v>
      </c>
      <c r="P428" s="691">
        <f t="shared" si="197"/>
        <v>0.24165593555594878</v>
      </c>
      <c r="Q428" s="336">
        <f t="shared" si="212"/>
        <v>4.4951255622921202</v>
      </c>
      <c r="R428" s="692">
        <f t="shared" si="198"/>
        <v>0.39226639491216014</v>
      </c>
      <c r="S428" s="329">
        <f t="shared" si="199"/>
        <v>0.98726876598635327</v>
      </c>
      <c r="T428" s="330">
        <f t="shared" si="200"/>
        <v>0.25123620765814519</v>
      </c>
      <c r="U428" s="331">
        <f t="shared" si="201"/>
        <v>-0.9869621568594561</v>
      </c>
      <c r="V428" s="332">
        <f t="shared" si="202"/>
        <v>-133.090078066763</v>
      </c>
      <c r="W428" s="334">
        <f t="shared" si="203"/>
        <v>46.909921933237001</v>
      </c>
      <c r="Y428" s="307">
        <f t="shared" si="204"/>
        <v>42415.25</v>
      </c>
      <c r="Z428" s="307">
        <f t="shared" si="205"/>
        <v>1799053432.5625</v>
      </c>
      <c r="AB428" s="333">
        <f t="shared" si="206"/>
        <v>34.14535331424284</v>
      </c>
      <c r="AC428" s="334">
        <f t="shared" si="207"/>
        <v>-26.784952815432909</v>
      </c>
      <c r="AE428" s="333">
        <f t="shared" si="208"/>
        <v>-10.292404189923833</v>
      </c>
      <c r="AF428" s="334">
        <f t="shared" si="209"/>
        <v>-97.675781569832068</v>
      </c>
      <c r="AH428">
        <f t="shared" si="210"/>
        <v>0</v>
      </c>
      <c r="AI428">
        <f t="shared" si="215"/>
        <v>0</v>
      </c>
    </row>
    <row r="429" spans="1:35" x14ac:dyDescent="0.25">
      <c r="A429" s="335">
        <v>42658</v>
      </c>
      <c r="B429" s="352">
        <f t="shared" si="211"/>
        <v>42.658000000000001</v>
      </c>
      <c r="C429" s="325">
        <f t="shared" si="186"/>
        <v>90.865622176861407</v>
      </c>
      <c r="D429" s="326">
        <f t="shared" si="187"/>
        <v>1.559790842398169</v>
      </c>
      <c r="E429" s="326">
        <f t="shared" si="188"/>
        <v>1.0057307052941229</v>
      </c>
      <c r="F429" s="327">
        <f t="shared" si="189"/>
        <v>0.1068032862452082</v>
      </c>
      <c r="G429" s="326">
        <f t="shared" si="190"/>
        <v>1</v>
      </c>
      <c r="H429" s="327">
        <f t="shared" si="191"/>
        <v>0</v>
      </c>
      <c r="I429" s="325">
        <f t="shared" si="192"/>
        <v>14076.071868330042</v>
      </c>
      <c r="J429" s="328">
        <f t="shared" si="193"/>
        <v>1.5707252842476438</v>
      </c>
      <c r="K429" s="336">
        <f t="shared" si="213"/>
        <v>10.006266569851967</v>
      </c>
      <c r="L429" s="337">
        <f t="shared" si="214"/>
        <v>1.4706918473880142</v>
      </c>
      <c r="M429" s="325">
        <f t="shared" si="194"/>
        <v>1.0720857868580249</v>
      </c>
      <c r="N429" s="337">
        <f t="shared" si="195"/>
        <v>0.36879843580016552</v>
      </c>
      <c r="O429" s="343">
        <f t="shared" si="196"/>
        <v>1.0302650356721896</v>
      </c>
      <c r="P429" s="691">
        <f t="shared" si="197"/>
        <v>0.24298532009456719</v>
      </c>
      <c r="Q429" s="336">
        <f t="shared" si="212"/>
        <v>4.4988640296141762</v>
      </c>
      <c r="R429" s="692">
        <f t="shared" si="198"/>
        <v>0.39428921002742462</v>
      </c>
      <c r="S429" s="329">
        <f t="shared" si="199"/>
        <v>0.98713291389419211</v>
      </c>
      <c r="T429" s="330">
        <f t="shared" si="200"/>
        <v>0.25274092893786432</v>
      </c>
      <c r="U429" s="331">
        <f t="shared" si="201"/>
        <v>-1.046044373759492</v>
      </c>
      <c r="V429" s="332">
        <f t="shared" si="202"/>
        <v>-133.26220526490792</v>
      </c>
      <c r="W429" s="334">
        <f t="shared" si="203"/>
        <v>46.737794735092081</v>
      </c>
      <c r="Y429" s="307">
        <f t="shared" si="204"/>
        <v>42658</v>
      </c>
      <c r="Z429" s="307">
        <f t="shared" si="205"/>
        <v>1819704964</v>
      </c>
      <c r="AB429" s="333">
        <f t="shared" si="206"/>
        <v>34.138445490170895</v>
      </c>
      <c r="AC429" s="334">
        <f t="shared" si="207"/>
        <v>-26.862087635315515</v>
      </c>
      <c r="AE429" s="333">
        <f t="shared" si="208"/>
        <v>-10.340211912685611</v>
      </c>
      <c r="AF429" s="334">
        <f t="shared" si="209"/>
        <v>-97.731043302621842</v>
      </c>
      <c r="AH429">
        <f t="shared" si="210"/>
        <v>0</v>
      </c>
      <c r="AI429">
        <f t="shared" si="215"/>
        <v>0</v>
      </c>
    </row>
    <row r="430" spans="1:35" x14ac:dyDescent="0.25">
      <c r="A430" s="335">
        <v>42906.5</v>
      </c>
      <c r="B430" s="352">
        <f t="shared" si="211"/>
        <v>42.906500000000001</v>
      </c>
      <c r="C430" s="325">
        <f t="shared" si="186"/>
        <v>91.39488703273544</v>
      </c>
      <c r="D430" s="326">
        <f t="shared" si="187"/>
        <v>1.5598545773558135</v>
      </c>
      <c r="E430" s="326">
        <f t="shared" si="188"/>
        <v>1.0057974740997198</v>
      </c>
      <c r="F430" s="327">
        <f t="shared" si="189"/>
        <v>0.10742069677178741</v>
      </c>
      <c r="G430" s="326">
        <f t="shared" si="190"/>
        <v>1</v>
      </c>
      <c r="H430" s="327">
        <f t="shared" si="191"/>
        <v>0</v>
      </c>
      <c r="I430" s="325">
        <f t="shared" si="192"/>
        <v>14158.070645620988</v>
      </c>
      <c r="J430" s="328">
        <f t="shared" si="193"/>
        <v>1.5707256957021538</v>
      </c>
      <c r="K430" s="336">
        <f t="shared" si="213"/>
        <v>10.063976589249988</v>
      </c>
      <c r="L430" s="337">
        <f t="shared" si="214"/>
        <v>1.4712677866069075</v>
      </c>
      <c r="M430" s="325">
        <f t="shared" si="194"/>
        <v>1.072899463960977</v>
      </c>
      <c r="N430" s="337">
        <f t="shared" si="195"/>
        <v>0.37075577593514825</v>
      </c>
      <c r="O430" s="343">
        <f t="shared" si="196"/>
        <v>1.0306134215773746</v>
      </c>
      <c r="P430" s="691">
        <f t="shared" si="197"/>
        <v>0.24434528670112102</v>
      </c>
      <c r="Q430" s="336">
        <f t="shared" si="212"/>
        <v>4.5027099057436795</v>
      </c>
      <c r="R430" s="692">
        <f t="shared" si="198"/>
        <v>0.39635646813850151</v>
      </c>
      <c r="S430" s="329">
        <f t="shared" si="199"/>
        <v>0.98699328799657604</v>
      </c>
      <c r="T430" s="330">
        <f t="shared" si="200"/>
        <v>0.25428247409725385</v>
      </c>
      <c r="U430" s="331">
        <f t="shared" si="201"/>
        <v>-1.1062611463275902</v>
      </c>
      <c r="V430" s="332">
        <f t="shared" si="202"/>
        <v>-133.43850285836064</v>
      </c>
      <c r="W430" s="334">
        <f t="shared" si="203"/>
        <v>46.561497141639364</v>
      </c>
      <c r="Y430" s="307">
        <f t="shared" si="204"/>
        <v>42906.5</v>
      </c>
      <c r="Z430" s="307">
        <f t="shared" si="205"/>
        <v>1840967742.25</v>
      </c>
      <c r="AB430" s="333">
        <f t="shared" si="206"/>
        <v>34.131354690798602</v>
      </c>
      <c r="AC430" s="334">
        <f t="shared" si="207"/>
        <v>-26.941259652320305</v>
      </c>
      <c r="AE430" s="333">
        <f t="shared" si="208"/>
        <v>-10.388852534280188</v>
      </c>
      <c r="AF430" s="334">
        <f t="shared" si="209"/>
        <v>-97.787644060928884</v>
      </c>
      <c r="AH430">
        <f t="shared" si="210"/>
        <v>0</v>
      </c>
      <c r="AI430">
        <f t="shared" si="215"/>
        <v>0</v>
      </c>
    </row>
    <row r="431" spans="1:35" x14ac:dyDescent="0.25">
      <c r="A431" s="335">
        <v>43155</v>
      </c>
      <c r="B431" s="352">
        <f t="shared" si="211"/>
        <v>43.155000000000001</v>
      </c>
      <c r="C431" s="325">
        <f t="shared" si="186"/>
        <v>91.924152255593583</v>
      </c>
      <c r="D431" s="326">
        <f t="shared" si="187"/>
        <v>1.5599175783891499</v>
      </c>
      <c r="E431" s="326">
        <f t="shared" si="188"/>
        <v>1.0058646262600615</v>
      </c>
      <c r="F431" s="327">
        <f t="shared" si="189"/>
        <v>0.10803802509622684</v>
      </c>
      <c r="G431" s="326">
        <f t="shared" si="190"/>
        <v>1</v>
      </c>
      <c r="H431" s="327">
        <f t="shared" si="191"/>
        <v>0</v>
      </c>
      <c r="I431" s="325">
        <f t="shared" si="192"/>
        <v>14240.069422914301</v>
      </c>
      <c r="J431" s="328">
        <f t="shared" si="193"/>
        <v>1.5707261024180961</v>
      </c>
      <c r="K431" s="336">
        <f t="shared" si="213"/>
        <v>10.121689908861407</v>
      </c>
      <c r="L431" s="337">
        <f t="shared" si="214"/>
        <v>1.4718371580653244</v>
      </c>
      <c r="M431" s="325">
        <f t="shared" si="194"/>
        <v>1.0737172452962138</v>
      </c>
      <c r="N431" s="337">
        <f t="shared" si="195"/>
        <v>0.37271014198811603</v>
      </c>
      <c r="O431" s="343">
        <f t="shared" si="196"/>
        <v>1.030963712321231</v>
      </c>
      <c r="P431" s="691">
        <f t="shared" si="197"/>
        <v>0.24570433166757699</v>
      </c>
      <c r="Q431" s="336">
        <f t="shared" si="212"/>
        <v>4.5065748101482264</v>
      </c>
      <c r="R431" s="692">
        <f t="shared" si="198"/>
        <v>0.39842020601373374</v>
      </c>
      <c r="S431" s="329">
        <f t="shared" si="199"/>
        <v>0.98685310414739102</v>
      </c>
      <c r="T431" s="330">
        <f t="shared" si="200"/>
        <v>0.25582522149810327</v>
      </c>
      <c r="U431" s="331">
        <f t="shared" si="201"/>
        <v>-1.1662132225409825</v>
      </c>
      <c r="V431" s="332">
        <f t="shared" si="202"/>
        <v>-133.61488873678539</v>
      </c>
      <c r="W431" s="334">
        <f t="shared" si="203"/>
        <v>46.385111263214611</v>
      </c>
      <c r="Y431" s="307">
        <f t="shared" si="204"/>
        <v>43155</v>
      </c>
      <c r="Z431" s="307">
        <f t="shared" si="205"/>
        <v>1862354025</v>
      </c>
      <c r="AB431" s="333">
        <f t="shared" si="206"/>
        <v>34.124244259224859</v>
      </c>
      <c r="AC431" s="334">
        <f t="shared" si="207"/>
        <v>-27.020637300434149</v>
      </c>
      <c r="AE431" s="333">
        <f t="shared" si="208"/>
        <v>-10.437193544892498</v>
      </c>
      <c r="AF431" s="334">
        <f t="shared" si="209"/>
        <v>-97.844276361667909</v>
      </c>
      <c r="AH431">
        <f t="shared" si="210"/>
        <v>0</v>
      </c>
      <c r="AI431">
        <f t="shared" si="215"/>
        <v>0</v>
      </c>
    </row>
    <row r="432" spans="1:35" x14ac:dyDescent="0.25">
      <c r="A432" s="335">
        <v>43403.5</v>
      </c>
      <c r="B432" s="352">
        <f t="shared" si="211"/>
        <v>43.403500000000001</v>
      </c>
      <c r="C432" s="325">
        <f t="shared" si="186"/>
        <v>92.453417839133252</v>
      </c>
      <c r="D432" s="326">
        <f t="shared" si="187"/>
        <v>1.559979858102104</v>
      </c>
      <c r="E432" s="326">
        <f t="shared" si="188"/>
        <v>1.0059321616983743</v>
      </c>
      <c r="F432" s="327">
        <f t="shared" si="189"/>
        <v>0.10865527076451577</v>
      </c>
      <c r="G432" s="326">
        <f t="shared" si="190"/>
        <v>1</v>
      </c>
      <c r="H432" s="327">
        <f t="shared" si="191"/>
        <v>0</v>
      </c>
      <c r="I432" s="325">
        <f t="shared" si="192"/>
        <v>14322.06820020994</v>
      </c>
      <c r="J432" s="328">
        <f t="shared" si="193"/>
        <v>1.5707265044768604</v>
      </c>
      <c r="K432" s="336">
        <f t="shared" si="213"/>
        <v>10.179406472553403</v>
      </c>
      <c r="L432" s="337">
        <f t="shared" si="214"/>
        <v>1.4724000731072342</v>
      </c>
      <c r="M432" s="325">
        <f t="shared" si="194"/>
        <v>1.074539121493119</v>
      </c>
      <c r="N432" s="337">
        <f t="shared" si="195"/>
        <v>0.37466152583687568</v>
      </c>
      <c r="O432" s="343">
        <f t="shared" si="196"/>
        <v>1.0313159059627992</v>
      </c>
      <c r="P432" s="691">
        <f t="shared" si="197"/>
        <v>0.24706245091529866</v>
      </c>
      <c r="Q432" s="336">
        <f t="shared" si="212"/>
        <v>4.5104586939176521</v>
      </c>
      <c r="R432" s="692">
        <f t="shared" si="198"/>
        <v>0.40048041539513907</v>
      </c>
      <c r="S432" s="329">
        <f t="shared" si="199"/>
        <v>0.98671236685271713</v>
      </c>
      <c r="T432" s="330">
        <f t="shared" si="200"/>
        <v>0.25736917793201003</v>
      </c>
      <c r="U432" s="331">
        <f t="shared" si="201"/>
        <v>-1.2259038893137129</v>
      </c>
      <c r="V432" s="332">
        <f t="shared" si="202"/>
        <v>-133.79135695777401</v>
      </c>
      <c r="W432" s="334">
        <f t="shared" si="203"/>
        <v>46.208643042225987</v>
      </c>
      <c r="Y432" s="307">
        <f t="shared" si="204"/>
        <v>43403.5</v>
      </c>
      <c r="Z432" s="307">
        <f t="shared" si="205"/>
        <v>1883863812.25</v>
      </c>
      <c r="AB432" s="333">
        <f t="shared" si="206"/>
        <v>34.117114145231028</v>
      </c>
      <c r="AC432" s="334">
        <f t="shared" si="207"/>
        <v>-27.100213739413455</v>
      </c>
      <c r="AE432" s="333">
        <f t="shared" si="208"/>
        <v>-10.485238326843575</v>
      </c>
      <c r="AF432" s="334">
        <f t="shared" si="209"/>
        <v>-97.900941342133464</v>
      </c>
      <c r="AH432">
        <f t="shared" si="210"/>
        <v>0</v>
      </c>
      <c r="AI432">
        <f t="shared" si="215"/>
        <v>0</v>
      </c>
    </row>
    <row r="433" spans="1:35" x14ac:dyDescent="0.25">
      <c r="A433" s="335">
        <v>43652</v>
      </c>
      <c r="B433" s="352">
        <f t="shared" si="211"/>
        <v>43.652000000000001</v>
      </c>
      <c r="C433" s="325">
        <f t="shared" si="186"/>
        <v>92.98268377719539</v>
      </c>
      <c r="D433" s="326">
        <f t="shared" si="187"/>
        <v>1.5600414288116531</v>
      </c>
      <c r="E433" s="326">
        <f t="shared" si="188"/>
        <v>1.0060000803374671</v>
      </c>
      <c r="F433" s="327">
        <f t="shared" si="189"/>
        <v>0.10927243332301695</v>
      </c>
      <c r="G433" s="326">
        <f t="shared" si="190"/>
        <v>1</v>
      </c>
      <c r="H433" s="327">
        <f t="shared" si="191"/>
        <v>0</v>
      </c>
      <c r="I433" s="325">
        <f t="shared" si="192"/>
        <v>14404.066977507871</v>
      </c>
      <c r="J433" s="328">
        <f t="shared" si="193"/>
        <v>1.5707269019579833</v>
      </c>
      <c r="K433" s="336">
        <f t="shared" si="213"/>
        <v>10.237126225455935</v>
      </c>
      <c r="L433" s="337">
        <f t="shared" si="214"/>
        <v>1.4729566405820327</v>
      </c>
      <c r="M433" s="325">
        <f t="shared" si="194"/>
        <v>1.0753650831628738</v>
      </c>
      <c r="N433" s="337">
        <f t="shared" si="195"/>
        <v>0.3766099194748494</v>
      </c>
      <c r="O433" s="343">
        <f t="shared" si="196"/>
        <v>1.0316700005532342</v>
      </c>
      <c r="P433" s="691">
        <f t="shared" si="197"/>
        <v>0.2484196403848635</v>
      </c>
      <c r="Q433" s="336">
        <f t="shared" si="212"/>
        <v>4.5143615080703494</v>
      </c>
      <c r="R433" s="692">
        <f t="shared" si="198"/>
        <v>0.40253708817175649</v>
      </c>
      <c r="S433" s="329">
        <f t="shared" si="199"/>
        <v>0.98657108064766885</v>
      </c>
      <c r="T433" s="330">
        <f t="shared" si="200"/>
        <v>0.25891435018541142</v>
      </c>
      <c r="U433" s="331">
        <f t="shared" si="201"/>
        <v>-1.2853363711905141</v>
      </c>
      <c r="V433" s="332">
        <f t="shared" si="202"/>
        <v>-133.96790171893014</v>
      </c>
      <c r="W433" s="334">
        <f t="shared" si="203"/>
        <v>46.032098281069864</v>
      </c>
      <c r="Y433" s="307">
        <f t="shared" si="204"/>
        <v>43652</v>
      </c>
      <c r="Z433" s="307">
        <f t="shared" si="205"/>
        <v>1905497104</v>
      </c>
      <c r="AB433" s="333">
        <f t="shared" si="206"/>
        <v>34.109964304137918</v>
      </c>
      <c r="AC433" s="334">
        <f t="shared" si="207"/>
        <v>-27.179982278461203</v>
      </c>
      <c r="AE433" s="333">
        <f t="shared" si="208"/>
        <v>-10.532990205492808</v>
      </c>
      <c r="AF433" s="334">
        <f t="shared" si="209"/>
        <v>-97.95764012286206</v>
      </c>
      <c r="AH433">
        <f t="shared" si="210"/>
        <v>0</v>
      </c>
      <c r="AI433">
        <f t="shared" si="215"/>
        <v>0</v>
      </c>
    </row>
    <row r="434" spans="1:35" x14ac:dyDescent="0.25">
      <c r="A434" s="335">
        <v>43906</v>
      </c>
      <c r="B434" s="352">
        <f t="shared" si="211"/>
        <v>43.905999999999999</v>
      </c>
      <c r="C434" s="325">
        <f t="shared" si="186"/>
        <v>93.523664210820627</v>
      </c>
      <c r="D434" s="326">
        <f t="shared" si="187"/>
        <v>1.5601036420687679</v>
      </c>
      <c r="E434" s="326">
        <f t="shared" si="188"/>
        <v>1.006069898141793</v>
      </c>
      <c r="F434" s="327">
        <f t="shared" si="189"/>
        <v>0.10990316905380974</v>
      </c>
      <c r="G434" s="326">
        <f t="shared" si="190"/>
        <v>1</v>
      </c>
      <c r="H434" s="327">
        <f t="shared" si="191"/>
        <v>0</v>
      </c>
      <c r="I434" s="325">
        <f t="shared" si="192"/>
        <v>14487.880617082326</v>
      </c>
      <c r="J434" s="328">
        <f t="shared" si="193"/>
        <v>1.5707273035866562</v>
      </c>
      <c r="K434" s="336">
        <f t="shared" si="213"/>
        <v>10.29612671795199</v>
      </c>
      <c r="L434" s="337">
        <f t="shared" si="214"/>
        <v>1.4735190773767863</v>
      </c>
      <c r="M434" s="325">
        <f t="shared" si="194"/>
        <v>1.0762135379893201</v>
      </c>
      <c r="N434" s="337">
        <f t="shared" si="195"/>
        <v>0.37859833808282467</v>
      </c>
      <c r="O434" s="343">
        <f t="shared" si="196"/>
        <v>1.0320338947346341</v>
      </c>
      <c r="P434" s="691">
        <f t="shared" si="197"/>
        <v>0.2498059031733996</v>
      </c>
      <c r="Q434" s="336">
        <f t="shared" si="212"/>
        <v>4.5183702148434239</v>
      </c>
      <c r="R434" s="692">
        <f t="shared" si="198"/>
        <v>0.40463561769482398</v>
      </c>
      <c r="S434" s="329">
        <f t="shared" si="199"/>
        <v>0.98642610486736138</v>
      </c>
      <c r="T434" s="330">
        <f t="shared" si="200"/>
        <v>0.26049498496344825</v>
      </c>
      <c r="U434" s="331">
        <f t="shared" si="201"/>
        <v>-1.3458207337055947</v>
      </c>
      <c r="V434" s="332">
        <f t="shared" si="202"/>
        <v>-134.14842711153352</v>
      </c>
      <c r="W434" s="334">
        <f t="shared" si="203"/>
        <v>45.851572888466478</v>
      </c>
      <c r="Y434" s="307">
        <f t="shared" si="204"/>
        <v>43906</v>
      </c>
      <c r="Z434" s="307">
        <f t="shared" si="205"/>
        <v>1927736836</v>
      </c>
      <c r="AB434" s="333">
        <f t="shared" si="206"/>
        <v>34.102635789294091</v>
      </c>
      <c r="AC434" s="334">
        <f t="shared" si="207"/>
        <v>-27.261708029742493</v>
      </c>
      <c r="AE434" s="333">
        <f t="shared" si="208"/>
        <v>-10.581499671235608</v>
      </c>
      <c r="AF434" s="334">
        <f t="shared" si="209"/>
        <v>-98.015629886361353</v>
      </c>
      <c r="AH434">
        <f t="shared" si="210"/>
        <v>0</v>
      </c>
      <c r="AI434">
        <f t="shared" si="215"/>
        <v>0</v>
      </c>
    </row>
    <row r="435" spans="1:35" x14ac:dyDescent="0.25">
      <c r="A435" s="335">
        <v>44160</v>
      </c>
      <c r="B435" s="352">
        <f t="shared" si="211"/>
        <v>44.16</v>
      </c>
      <c r="C435" s="325">
        <f t="shared" si="186"/>
        <v>94.064645002264569</v>
      </c>
      <c r="D435" s="326">
        <f t="shared" si="187"/>
        <v>1.5601651397293697</v>
      </c>
      <c r="E435" s="326">
        <f t="shared" si="188"/>
        <v>1.0061401161328141</v>
      </c>
      <c r="F435" s="327">
        <f t="shared" si="189"/>
        <v>0.11053381699803086</v>
      </c>
      <c r="G435" s="326">
        <f t="shared" si="190"/>
        <v>1</v>
      </c>
      <c r="H435" s="327">
        <f t="shared" si="191"/>
        <v>0</v>
      </c>
      <c r="I435" s="325">
        <f t="shared" si="192"/>
        <v>14571.694256659091</v>
      </c>
      <c r="J435" s="328">
        <f t="shared" si="193"/>
        <v>1.5707277005951445</v>
      </c>
      <c r="K435" s="336">
        <f t="shared" si="213"/>
        <v>10.355130430359054</v>
      </c>
      <c r="L435" s="337">
        <f t="shared" si="214"/>
        <v>1.4740751047965834</v>
      </c>
      <c r="M435" s="325">
        <f t="shared" si="194"/>
        <v>1.0770662412443164</v>
      </c>
      <c r="N435" s="337">
        <f t="shared" si="195"/>
        <v>0.38058361610510311</v>
      </c>
      <c r="O435" s="343">
        <f t="shared" si="196"/>
        <v>1.0323997708005386</v>
      </c>
      <c r="P435" s="691">
        <f t="shared" si="197"/>
        <v>0.2511911860566568</v>
      </c>
      <c r="Q435" s="336">
        <f t="shared" si="212"/>
        <v>4.5223985955391983</v>
      </c>
      <c r="R435" s="692">
        <f t="shared" si="198"/>
        <v>0.4067304356628838</v>
      </c>
      <c r="S435" s="329">
        <f t="shared" si="199"/>
        <v>0.98628056528398211</v>
      </c>
      <c r="T435" s="330">
        <f t="shared" si="200"/>
        <v>0.26207690429589442</v>
      </c>
      <c r="U435" s="331">
        <f t="shared" si="201"/>
        <v>-1.4060419754683895</v>
      </c>
      <c r="V435" s="332">
        <f t="shared" si="202"/>
        <v>-134.32902064393434</v>
      </c>
      <c r="W435" s="334">
        <f t="shared" si="203"/>
        <v>45.670979356065658</v>
      </c>
      <c r="Y435" s="307">
        <f t="shared" si="204"/>
        <v>44160</v>
      </c>
      <c r="Z435" s="307">
        <f t="shared" si="205"/>
        <v>1950105600</v>
      </c>
      <c r="AB435" s="333">
        <f t="shared" si="206"/>
        <v>34.095286586958878</v>
      </c>
      <c r="AC435" s="334">
        <f t="shared" si="207"/>
        <v>-27.343620804135615</v>
      </c>
      <c r="AE435" s="333">
        <f t="shared" si="208"/>
        <v>-10.629709973399709</v>
      </c>
      <c r="AF435" s="334">
        <f t="shared" si="209"/>
        <v>-98.073657278546904</v>
      </c>
      <c r="AH435">
        <f t="shared" si="210"/>
        <v>0</v>
      </c>
      <c r="AI435">
        <f t="shared" si="215"/>
        <v>0</v>
      </c>
    </row>
    <row r="436" spans="1:35" x14ac:dyDescent="0.25">
      <c r="A436" s="335">
        <v>44414</v>
      </c>
      <c r="B436" s="352">
        <f t="shared" si="211"/>
        <v>44.414000000000001</v>
      </c>
      <c r="C436" s="325">
        <f t="shared" si="186"/>
        <v>94.605626145388911</v>
      </c>
      <c r="D436" s="326">
        <f t="shared" si="187"/>
        <v>1.5602259340689257</v>
      </c>
      <c r="E436" s="326">
        <f t="shared" si="188"/>
        <v>1.0062107342267494</v>
      </c>
      <c r="F436" s="327">
        <f t="shared" si="189"/>
        <v>0.11116437667247288</v>
      </c>
      <c r="G436" s="326">
        <f t="shared" si="190"/>
        <v>1</v>
      </c>
      <c r="H436" s="327">
        <f t="shared" si="191"/>
        <v>0</v>
      </c>
      <c r="I436" s="325">
        <f t="shared" si="192"/>
        <v>14655.507896238127</v>
      </c>
      <c r="J436" s="328">
        <f t="shared" si="193"/>
        <v>1.5707280930627152</v>
      </c>
      <c r="K436" s="336">
        <f t="shared" si="213"/>
        <v>10.414137307947669</v>
      </c>
      <c r="L436" s="337">
        <f t="shared" si="214"/>
        <v>1.474624831441907</v>
      </c>
      <c r="M436" s="325">
        <f t="shared" si="194"/>
        <v>1.0779231828455613</v>
      </c>
      <c r="N436" s="337">
        <f t="shared" si="195"/>
        <v>0.38256574536422144</v>
      </c>
      <c r="O436" s="343">
        <f t="shared" si="196"/>
        <v>1.0327676266445951</v>
      </c>
      <c r="P436" s="691">
        <f t="shared" si="197"/>
        <v>0.25257548476217734</v>
      </c>
      <c r="Q436" s="336">
        <f t="shared" si="212"/>
        <v>4.5264465976352009</v>
      </c>
      <c r="R436" s="692">
        <f t="shared" si="198"/>
        <v>0.40882153388711906</v>
      </c>
      <c r="S436" s="329">
        <f t="shared" si="199"/>
        <v>0.98613446683482986</v>
      </c>
      <c r="T436" s="330">
        <f t="shared" si="200"/>
        <v>0.26366011541250511</v>
      </c>
      <c r="U436" s="331">
        <f t="shared" si="201"/>
        <v>-1.4660033474951806</v>
      </c>
      <c r="V436" s="332">
        <f t="shared" si="202"/>
        <v>-134.5096765506525</v>
      </c>
      <c r="W436" s="334">
        <f t="shared" si="203"/>
        <v>45.4903234493475</v>
      </c>
      <c r="Y436" s="307">
        <f t="shared" si="204"/>
        <v>44414</v>
      </c>
      <c r="Z436" s="307">
        <f t="shared" si="205"/>
        <v>1972603396</v>
      </c>
      <c r="AB436" s="333">
        <f t="shared" si="206"/>
        <v>34.087916666146491</v>
      </c>
      <c r="AC436" s="334">
        <f t="shared" si="207"/>
        <v>-27.425713915298768</v>
      </c>
      <c r="AE436" s="333">
        <f t="shared" si="208"/>
        <v>-10.677624486898205</v>
      </c>
      <c r="AF436" s="334">
        <f t="shared" si="209"/>
        <v>-98.131723444671422</v>
      </c>
      <c r="AH436">
        <f t="shared" si="210"/>
        <v>0</v>
      </c>
      <c r="AI436">
        <f t="shared" si="215"/>
        <v>0</v>
      </c>
    </row>
    <row r="437" spans="1:35" x14ac:dyDescent="0.25">
      <c r="A437" s="335">
        <v>44668</v>
      </c>
      <c r="B437" s="352">
        <f t="shared" si="211"/>
        <v>44.667999999999999</v>
      </c>
      <c r="C437" s="325">
        <f t="shared" si="186"/>
        <v>95.146607634194936</v>
      </c>
      <c r="D437" s="326">
        <f t="shared" si="187"/>
        <v>1.5602860370837424</v>
      </c>
      <c r="E437" s="326">
        <f t="shared" si="188"/>
        <v>1.006281752339365</v>
      </c>
      <c r="F437" s="327">
        <f t="shared" si="189"/>
        <v>0.11179484759434445</v>
      </c>
      <c r="G437" s="326">
        <f t="shared" si="190"/>
        <v>1</v>
      </c>
      <c r="H437" s="327">
        <f t="shared" si="191"/>
        <v>0</v>
      </c>
      <c r="I437" s="325">
        <f t="shared" si="192"/>
        <v>14739.321535819394</v>
      </c>
      <c r="J437" s="328">
        <f t="shared" si="193"/>
        <v>1.5707284810668327</v>
      </c>
      <c r="K437" s="336">
        <f t="shared" si="213"/>
        <v>10.473147297218876</v>
      </c>
      <c r="L437" s="337">
        <f t="shared" si="214"/>
        <v>1.4751683634810733</v>
      </c>
      <c r="M437" s="325">
        <f t="shared" si="194"/>
        <v>1.078784352692755</v>
      </c>
      <c r="N437" s="337">
        <f t="shared" si="195"/>
        <v>0.38454471780760263</v>
      </c>
      <c r="O437" s="343">
        <f t="shared" si="196"/>
        <v>1.033137460152062</v>
      </c>
      <c r="P437" s="691">
        <f t="shared" si="197"/>
        <v>0.2539587950386597</v>
      </c>
      <c r="Q437" s="336">
        <f t="shared" si="212"/>
        <v>4.5305141685413126</v>
      </c>
      <c r="R437" s="692">
        <f t="shared" si="198"/>
        <v>0.41090890433678401</v>
      </c>
      <c r="S437" s="329">
        <f t="shared" si="199"/>
        <v>0.98598781448909845</v>
      </c>
      <c r="T437" s="330">
        <f t="shared" si="200"/>
        <v>0.26524462553697759</v>
      </c>
      <c r="U437" s="331">
        <f t="shared" si="201"/>
        <v>-1.5257080390583286</v>
      </c>
      <c r="V437" s="332">
        <f t="shared" si="202"/>
        <v>-134.69038920409216</v>
      </c>
      <c r="W437" s="334">
        <f t="shared" si="203"/>
        <v>45.309610795907844</v>
      </c>
      <c r="Y437" s="307">
        <f t="shared" si="204"/>
        <v>44668</v>
      </c>
      <c r="Z437" s="307">
        <f t="shared" si="205"/>
        <v>1995230224</v>
      </c>
      <c r="AB437" s="333">
        <f t="shared" si="206"/>
        <v>34.080526001121527</v>
      </c>
      <c r="AC437" s="334">
        <f t="shared" si="207"/>
        <v>-27.507980823295206</v>
      </c>
      <c r="AE437" s="333">
        <f t="shared" si="208"/>
        <v>-10.725246529966361</v>
      </c>
      <c r="AF437" s="334">
        <f t="shared" si="209"/>
        <v>-98.189829513621874</v>
      </c>
      <c r="AH437">
        <f t="shared" si="210"/>
        <v>0</v>
      </c>
      <c r="AI437">
        <f t="shared" si="215"/>
        <v>0</v>
      </c>
    </row>
    <row r="438" spans="1:35" x14ac:dyDescent="0.25">
      <c r="A438" s="335">
        <v>44928.25</v>
      </c>
      <c r="B438" s="352">
        <f t="shared" si="211"/>
        <v>44.928249999999998</v>
      </c>
      <c r="C438" s="325">
        <f t="shared" si="186"/>
        <v>95.700901027797997</v>
      </c>
      <c r="D438" s="326">
        <f t="shared" si="187"/>
        <v>1.5603469142202764</v>
      </c>
      <c r="E438" s="326">
        <f t="shared" si="188"/>
        <v>1.0063549327605952</v>
      </c>
      <c r="F438" s="327">
        <f t="shared" si="189"/>
        <v>0.11244073951269259</v>
      </c>
      <c r="G438" s="326">
        <f t="shared" si="190"/>
        <v>1</v>
      </c>
      <c r="H438" s="327">
        <f t="shared" si="191"/>
        <v>0</v>
      </c>
      <c r="I438" s="325">
        <f t="shared" si="192"/>
        <v>14825.19751889657</v>
      </c>
      <c r="J438" s="328">
        <f t="shared" si="193"/>
        <v>1.5707288740679104</v>
      </c>
      <c r="K438" s="336">
        <f t="shared" si="213"/>
        <v>10.533612476731227</v>
      </c>
      <c r="L438" s="337">
        <f t="shared" si="214"/>
        <v>1.4757189532458721</v>
      </c>
      <c r="M438" s="325">
        <f t="shared" si="194"/>
        <v>1.079671087750572</v>
      </c>
      <c r="N438" s="337">
        <f t="shared" si="195"/>
        <v>0.38656910286160373</v>
      </c>
      <c r="O438" s="343">
        <f t="shared" si="196"/>
        <v>1.0335184429298623</v>
      </c>
      <c r="P438" s="691">
        <f t="shared" si="197"/>
        <v>0.255375113827705</v>
      </c>
      <c r="Q438" s="336">
        <f t="shared" si="212"/>
        <v>4.5347020692595041</v>
      </c>
      <c r="R438" s="692">
        <f t="shared" si="198"/>
        <v>0.41304376252283415</v>
      </c>
      <c r="S438" s="329">
        <f t="shared" si="199"/>
        <v>0.98583698429358324</v>
      </c>
      <c r="T438" s="330">
        <f t="shared" si="200"/>
        <v>0.26686947948592815</v>
      </c>
      <c r="U438" s="331">
        <f t="shared" si="201"/>
        <v>-1.5866188817127804</v>
      </c>
      <c r="V438" s="332">
        <f t="shared" si="202"/>
        <v>-134.87560164205593</v>
      </c>
      <c r="W438" s="334">
        <f t="shared" si="203"/>
        <v>45.124398357944074</v>
      </c>
      <c r="Y438" s="307">
        <f t="shared" si="204"/>
        <v>44928.25</v>
      </c>
      <c r="Z438" s="307">
        <f t="shared" si="205"/>
        <v>2018547648.0625</v>
      </c>
      <c r="AB438" s="333">
        <f t="shared" si="206"/>
        <v>34.072931941450626</v>
      </c>
      <c r="AC438" s="334">
        <f t="shared" si="207"/>
        <v>-27.592445590632373</v>
      </c>
      <c r="AE438" s="333">
        <f t="shared" si="208"/>
        <v>-10.773740433057862</v>
      </c>
      <c r="AF438" s="334">
        <f t="shared" si="209"/>
        <v>-98.249407909339268</v>
      </c>
      <c r="AH438">
        <f t="shared" si="210"/>
        <v>0</v>
      </c>
      <c r="AI438">
        <f t="shared" si="215"/>
        <v>0</v>
      </c>
    </row>
    <row r="439" spans="1:35" x14ac:dyDescent="0.25">
      <c r="A439" s="335">
        <v>45188.5</v>
      </c>
      <c r="B439" s="352">
        <f t="shared" si="211"/>
        <v>45.188499999999998</v>
      </c>
      <c r="C439" s="325">
        <f t="shared" si="186"/>
        <v>96.255194771986268</v>
      </c>
      <c r="D439" s="326">
        <f t="shared" si="187"/>
        <v>1.5604070902246712</v>
      </c>
      <c r="E439" s="326">
        <f t="shared" si="188"/>
        <v>1.0064285329481675</v>
      </c>
      <c r="F439" s="327">
        <f t="shared" si="189"/>
        <v>0.11308653723217904</v>
      </c>
      <c r="G439" s="326">
        <f t="shared" si="190"/>
        <v>1</v>
      </c>
      <c r="H439" s="327">
        <f t="shared" si="191"/>
        <v>0</v>
      </c>
      <c r="I439" s="325">
        <f t="shared" si="192"/>
        <v>14911.073501976009</v>
      </c>
      <c r="J439" s="328">
        <f t="shared" si="193"/>
        <v>1.5707292625422378</v>
      </c>
      <c r="K439" s="336">
        <f t="shared" si="213"/>
        <v>10.594080813047359</v>
      </c>
      <c r="L439" s="337">
        <f t="shared" si="214"/>
        <v>1.4762632579196069</v>
      </c>
      <c r="M439" s="325">
        <f t="shared" si="194"/>
        <v>1.0805622401736035</v>
      </c>
      <c r="N439" s="337">
        <f t="shared" si="195"/>
        <v>0.38859015711834527</v>
      </c>
      <c r="O439" s="343">
        <f t="shared" si="196"/>
        <v>1.033901497372864</v>
      </c>
      <c r="P439" s="691">
        <f t="shared" si="197"/>
        <v>0.25679038597836473</v>
      </c>
      <c r="Q439" s="336">
        <f t="shared" si="212"/>
        <v>4.5389104016828625</v>
      </c>
      <c r="R439" s="692">
        <f t="shared" si="198"/>
        <v>0.4151746906607181</v>
      </c>
      <c r="S439" s="329">
        <f t="shared" si="199"/>
        <v>0.9856855832721797</v>
      </c>
      <c r="T439" s="330">
        <f t="shared" si="200"/>
        <v>0.26849571249055992</v>
      </c>
      <c r="U439" s="331">
        <f t="shared" si="201"/>
        <v>-1.6472668429161299</v>
      </c>
      <c r="V439" s="332">
        <f t="shared" si="202"/>
        <v>-135.06086212136657</v>
      </c>
      <c r="W439" s="334">
        <f t="shared" si="203"/>
        <v>44.939137878633431</v>
      </c>
      <c r="Y439" s="307">
        <f t="shared" si="204"/>
        <v>45188.5</v>
      </c>
      <c r="Z439" s="307">
        <f t="shared" si="205"/>
        <v>2042000532.25</v>
      </c>
      <c r="AB439" s="333">
        <f t="shared" si="206"/>
        <v>34.065316065547634</v>
      </c>
      <c r="AC439" s="334">
        <f t="shared" si="207"/>
        <v>-27.677079367172471</v>
      </c>
      <c r="AE439" s="333">
        <f t="shared" si="208"/>
        <v>-10.821934171331918</v>
      </c>
      <c r="AF439" s="334">
        <f t="shared" si="209"/>
        <v>-98.309030544411712</v>
      </c>
      <c r="AH439">
        <f t="shared" si="210"/>
        <v>0</v>
      </c>
      <c r="AI439">
        <f t="shared" si="215"/>
        <v>0</v>
      </c>
    </row>
    <row r="440" spans="1:35" x14ac:dyDescent="0.25">
      <c r="A440" s="335">
        <v>45448.75</v>
      </c>
      <c r="B440" s="352">
        <f t="shared" si="211"/>
        <v>45.448749999999997</v>
      </c>
      <c r="C440" s="325">
        <f t="shared" si="186"/>
        <v>96.809488860737801</v>
      </c>
      <c r="D440" s="326">
        <f t="shared" si="187"/>
        <v>1.5604665771397301</v>
      </c>
      <c r="E440" s="326">
        <f t="shared" si="188"/>
        <v>1.0065025528099958</v>
      </c>
      <c r="F440" s="327">
        <f t="shared" si="189"/>
        <v>0.11373224023486202</v>
      </c>
      <c r="G440" s="326">
        <f t="shared" si="190"/>
        <v>1</v>
      </c>
      <c r="H440" s="327">
        <f t="shared" si="191"/>
        <v>0</v>
      </c>
      <c r="I440" s="325">
        <f t="shared" si="192"/>
        <v>14996.94948505767</v>
      </c>
      <c r="J440" s="328">
        <f t="shared" si="193"/>
        <v>1.5707296465675786</v>
      </c>
      <c r="K440" s="336">
        <f t="shared" si="213"/>
        <v>10.654552252419359</v>
      </c>
      <c r="L440" s="337">
        <f t="shared" si="214"/>
        <v>1.4768013841927878</v>
      </c>
      <c r="M440" s="325">
        <f t="shared" si="194"/>
        <v>1.0814577990417407</v>
      </c>
      <c r="N440" s="337">
        <f t="shared" si="195"/>
        <v>0.39060787232166444</v>
      </c>
      <c r="O440" s="343">
        <f t="shared" si="196"/>
        <v>1.0342866211793047</v>
      </c>
      <c r="P440" s="691">
        <f t="shared" si="197"/>
        <v>0.25820460698712044</v>
      </c>
      <c r="Q440" s="336">
        <f t="shared" si="212"/>
        <v>4.543139109038747</v>
      </c>
      <c r="R440" s="692">
        <f t="shared" si="198"/>
        <v>0.41730168062428974</v>
      </c>
      <c r="S440" s="329">
        <f t="shared" si="199"/>
        <v>0.98553361687453378</v>
      </c>
      <c r="T440" s="330">
        <f t="shared" si="200"/>
        <v>0.27012333230051444</v>
      </c>
      <c r="U440" s="331">
        <f t="shared" si="201"/>
        <v>-1.7076551611243429</v>
      </c>
      <c r="V440" s="332">
        <f t="shared" si="202"/>
        <v>-135.24616501665844</v>
      </c>
      <c r="W440" s="334">
        <f t="shared" si="203"/>
        <v>44.753834983341562</v>
      </c>
      <c r="Y440" s="307">
        <f t="shared" si="204"/>
        <v>45448.75</v>
      </c>
      <c r="Z440" s="307">
        <f t="shared" si="205"/>
        <v>2065588876.5625</v>
      </c>
      <c r="AB440" s="333">
        <f t="shared" si="206"/>
        <v>34.057678361705854</v>
      </c>
      <c r="AC440" s="334">
        <f t="shared" si="207"/>
        <v>-27.761875571411821</v>
      </c>
      <c r="AE440" s="333">
        <f t="shared" si="208"/>
        <v>-10.86983113727184</v>
      </c>
      <c r="AF440" s="334">
        <f t="shared" si="209"/>
        <v>-98.368698582538656</v>
      </c>
      <c r="AH440">
        <f t="shared" si="210"/>
        <v>0</v>
      </c>
      <c r="AI440">
        <f t="shared" si="215"/>
        <v>0</v>
      </c>
    </row>
    <row r="441" spans="1:35" x14ac:dyDescent="0.25">
      <c r="A441" s="335">
        <v>45709</v>
      </c>
      <c r="B441" s="352">
        <f t="shared" si="211"/>
        <v>45.709000000000003</v>
      </c>
      <c r="C441" s="325">
        <f t="shared" si="186"/>
        <v>97.363783288167753</v>
      </c>
      <c r="D441" s="326">
        <f t="shared" si="187"/>
        <v>1.5605253867340365</v>
      </c>
      <c r="E441" s="326">
        <f t="shared" si="188"/>
        <v>1.0065769922534964</v>
      </c>
      <c r="F441" s="327">
        <f t="shared" si="189"/>
        <v>0.11437784800326754</v>
      </c>
      <c r="G441" s="326">
        <f t="shared" si="190"/>
        <v>1</v>
      </c>
      <c r="H441" s="327">
        <f t="shared" si="191"/>
        <v>0</v>
      </c>
      <c r="I441" s="325">
        <f t="shared" si="192"/>
        <v>15082.825468141522</v>
      </c>
      <c r="J441" s="328">
        <f t="shared" si="193"/>
        <v>1.5707300262199251</v>
      </c>
      <c r="K441" s="336">
        <f t="shared" si="213"/>
        <v>10.715026742309904</v>
      </c>
      <c r="L441" s="337">
        <f t="shared" si="214"/>
        <v>1.477333436361824</v>
      </c>
      <c r="M441" s="325">
        <f t="shared" si="194"/>
        <v>1.0823577534171092</v>
      </c>
      <c r="N441" s="337">
        <f t="shared" si="195"/>
        <v>0.3926222403514063</v>
      </c>
      <c r="O441" s="343">
        <f t="shared" si="196"/>
        <v>1.0346738120384245</v>
      </c>
      <c r="P441" s="691">
        <f t="shared" si="197"/>
        <v>0.25961777237395928</v>
      </c>
      <c r="Q441" s="336">
        <f t="shared" si="212"/>
        <v>4.5473881344913369</v>
      </c>
      <c r="R441" s="692">
        <f t="shared" si="198"/>
        <v>0.41942472445871415</v>
      </c>
      <c r="S441" s="329">
        <f t="shared" si="199"/>
        <v>0.98538109058567458</v>
      </c>
      <c r="T441" s="330">
        <f t="shared" si="200"/>
        <v>0.27175234665825088</v>
      </c>
      <c r="U441" s="331">
        <f t="shared" si="201"/>
        <v>-1.7677870130847273</v>
      </c>
      <c r="V441" s="332">
        <f t="shared" si="202"/>
        <v>-135.43150483974765</v>
      </c>
      <c r="W441" s="334">
        <f t="shared" si="203"/>
        <v>44.568495160252354</v>
      </c>
      <c r="Y441" s="307">
        <f t="shared" si="204"/>
        <v>45709</v>
      </c>
      <c r="Z441" s="307">
        <f t="shared" si="205"/>
        <v>2089312681</v>
      </c>
      <c r="AB441" s="333">
        <f t="shared" si="206"/>
        <v>34.050018823234765</v>
      </c>
      <c r="AC441" s="334">
        <f t="shared" si="207"/>
        <v>-27.846827766709769</v>
      </c>
      <c r="AE441" s="333">
        <f t="shared" si="208"/>
        <v>-10.917434666421668</v>
      </c>
      <c r="AF441" s="334">
        <f t="shared" si="209"/>
        <v>-98.428413171269526</v>
      </c>
      <c r="AH441">
        <f t="shared" si="210"/>
        <v>0</v>
      </c>
      <c r="AI441">
        <f t="shared" si="215"/>
        <v>0</v>
      </c>
    </row>
    <row r="442" spans="1:35" x14ac:dyDescent="0.25">
      <c r="A442" s="335">
        <v>45975.25</v>
      </c>
      <c r="B442" s="352">
        <f t="shared" si="211"/>
        <v>45.975250000000003</v>
      </c>
      <c r="C442" s="325">
        <f t="shared" si="186"/>
        <v>97.930857182327685</v>
      </c>
      <c r="D442" s="326">
        <f t="shared" si="187"/>
        <v>1.5605848632380364</v>
      </c>
      <c r="E442" s="326">
        <f t="shared" si="188"/>
        <v>1.0066535819862743</v>
      </c>
      <c r="F442" s="327">
        <f t="shared" si="189"/>
        <v>0.11503824100850726</v>
      </c>
      <c r="G442" s="326">
        <f t="shared" si="190"/>
        <v>1</v>
      </c>
      <c r="H442" s="327">
        <f t="shared" si="191"/>
        <v>0</v>
      </c>
      <c r="I442" s="325">
        <f t="shared" si="192"/>
        <v>15170.681300981691</v>
      </c>
      <c r="J442" s="328">
        <f t="shared" si="193"/>
        <v>1.5707304101771202</v>
      </c>
      <c r="K442" s="336">
        <f t="shared" si="213"/>
        <v>10.776898560022046</v>
      </c>
      <c r="L442" s="337">
        <f t="shared" si="214"/>
        <v>1.4778715754089531</v>
      </c>
      <c r="M442" s="325">
        <f t="shared" si="194"/>
        <v>1.0832829932774424</v>
      </c>
      <c r="N442" s="337">
        <f t="shared" si="195"/>
        <v>0.39467957700159978</v>
      </c>
      <c r="O442" s="343">
        <f t="shared" si="196"/>
        <v>1.0350720661540325</v>
      </c>
      <c r="P442" s="691">
        <f t="shared" si="197"/>
        <v>0.26106242088745041</v>
      </c>
      <c r="Q442" s="336">
        <f t="shared" si="212"/>
        <v>4.5517560869927802</v>
      </c>
      <c r="R442" s="692">
        <f t="shared" si="198"/>
        <v>0.42159262278881393</v>
      </c>
      <c r="S442" s="329">
        <f t="shared" si="199"/>
        <v>0.98522447419530956</v>
      </c>
      <c r="T442" s="330">
        <f t="shared" si="200"/>
        <v>0.27342036875397069</v>
      </c>
      <c r="U442" s="331">
        <f t="shared" si="201"/>
        <v>-1.8290430361680894</v>
      </c>
      <c r="V442" s="332">
        <f t="shared" si="202"/>
        <v>-135.62115025887698</v>
      </c>
      <c r="W442" s="334">
        <f t="shared" si="203"/>
        <v>44.37884974112302</v>
      </c>
      <c r="Y442" s="307">
        <f t="shared" si="204"/>
        <v>45975.25</v>
      </c>
      <c r="Z442" s="307">
        <f t="shared" si="205"/>
        <v>2113723612.5625</v>
      </c>
      <c r="AB442" s="333">
        <f t="shared" si="206"/>
        <v>34.042160098557957</v>
      </c>
      <c r="AC442" s="334">
        <f t="shared" si="207"/>
        <v>-27.933893376838032</v>
      </c>
      <c r="AE442" s="333">
        <f t="shared" si="208"/>
        <v>-10.965835440790828</v>
      </c>
      <c r="AF442" s="334">
        <f t="shared" si="209"/>
        <v>-98.489553818197891</v>
      </c>
      <c r="AH442">
        <f t="shared" si="210"/>
        <v>0</v>
      </c>
      <c r="AI442">
        <f t="shared" si="215"/>
        <v>0</v>
      </c>
    </row>
    <row r="443" spans="1:35" x14ac:dyDescent="0.25">
      <c r="A443" s="335">
        <v>46241.5</v>
      </c>
      <c r="B443" s="352">
        <f t="shared" si="211"/>
        <v>46.241500000000002</v>
      </c>
      <c r="C443" s="325">
        <f t="shared" si="186"/>
        <v>98.497931418924665</v>
      </c>
      <c r="D443" s="326">
        <f t="shared" si="187"/>
        <v>1.5606436549036349</v>
      </c>
      <c r="E443" s="326">
        <f t="shared" si="188"/>
        <v>1.0067306106728156</v>
      </c>
      <c r="F443" s="327">
        <f t="shared" si="189"/>
        <v>0.1156985332434483</v>
      </c>
      <c r="G443" s="326">
        <f t="shared" si="190"/>
        <v>1</v>
      </c>
      <c r="H443" s="327">
        <f t="shared" si="191"/>
        <v>0</v>
      </c>
      <c r="I443" s="325">
        <f t="shared" si="192"/>
        <v>15258.537133824069</v>
      </c>
      <c r="J443" s="328">
        <f t="shared" si="193"/>
        <v>1.5707307897128064</v>
      </c>
      <c r="K443" s="336">
        <f t="shared" si="213"/>
        <v>10.838773463024088</v>
      </c>
      <c r="L443" s="337">
        <f t="shared" si="214"/>
        <v>1.4784035704999494</v>
      </c>
      <c r="M443" s="325">
        <f t="shared" si="194"/>
        <v>1.0842128104413082</v>
      </c>
      <c r="N443" s="337">
        <f t="shared" si="195"/>
        <v>0.39673339360283411</v>
      </c>
      <c r="O443" s="343">
        <f t="shared" si="196"/>
        <v>1.0354724788103911</v>
      </c>
      <c r="P443" s="691">
        <f t="shared" si="197"/>
        <v>0.26250595513321323</v>
      </c>
      <c r="Q443" s="336">
        <f t="shared" si="212"/>
        <v>4.5561451847127907</v>
      </c>
      <c r="R443" s="692">
        <f t="shared" si="198"/>
        <v>0.42375637464025312</v>
      </c>
      <c r="S443" s="329">
        <f t="shared" si="199"/>
        <v>0.98506728352753592</v>
      </c>
      <c r="T443" s="330">
        <f t="shared" si="200"/>
        <v>0.27508986681101105</v>
      </c>
      <c r="U443" s="331">
        <f t="shared" si="201"/>
        <v>-1.8900371662461315</v>
      </c>
      <c r="V443" s="332">
        <f t="shared" si="202"/>
        <v>-135.81082313230746</v>
      </c>
      <c r="W443" s="334">
        <f t="shared" si="203"/>
        <v>44.189176867692538</v>
      </c>
      <c r="Y443" s="307">
        <f t="shared" si="204"/>
        <v>46241.5</v>
      </c>
      <c r="Z443" s="307">
        <f t="shared" si="205"/>
        <v>2138276322.25</v>
      </c>
      <c r="AB443" s="333">
        <f t="shared" si="206"/>
        <v>34.034278522015576</v>
      </c>
      <c r="AC443" s="334">
        <f t="shared" si="207"/>
        <v>-28.021109072439547</v>
      </c>
      <c r="AE443" s="333">
        <f t="shared" si="208"/>
        <v>-11.013935977989188</v>
      </c>
      <c r="AF443" s="334">
        <f t="shared" si="209"/>
        <v>-98.550745566843474</v>
      </c>
      <c r="AH443">
        <f t="shared" si="210"/>
        <v>0</v>
      </c>
      <c r="AI443">
        <f t="shared" si="215"/>
        <v>0</v>
      </c>
    </row>
    <row r="444" spans="1:35" x14ac:dyDescent="0.25">
      <c r="A444" s="335">
        <v>46507.75</v>
      </c>
      <c r="B444" s="352">
        <f t="shared" si="211"/>
        <v>46.507750000000001</v>
      </c>
      <c r="C444" s="325">
        <f t="shared" si="186"/>
        <v>99.065005992078085</v>
      </c>
      <c r="D444" s="326">
        <f t="shared" si="187"/>
        <v>1.5607017734910158</v>
      </c>
      <c r="E444" s="326">
        <f t="shared" si="188"/>
        <v>1.0068080782123701</v>
      </c>
      <c r="F444" s="327">
        <f t="shared" si="189"/>
        <v>0.11635872415553002</v>
      </c>
      <c r="G444" s="326">
        <f t="shared" si="190"/>
        <v>1</v>
      </c>
      <c r="H444" s="327">
        <f t="shared" si="191"/>
        <v>0</v>
      </c>
      <c r="I444" s="325">
        <f t="shared" si="192"/>
        <v>15346.392966668624</v>
      </c>
      <c r="J444" s="328">
        <f t="shared" si="193"/>
        <v>1.5707311649029212</v>
      </c>
      <c r="K444" s="336">
        <f t="shared" si="213"/>
        <v>10.900651398777327</v>
      </c>
      <c r="L444" s="337">
        <f t="shared" si="214"/>
        <v>1.4789295259602475</v>
      </c>
      <c r="M444" s="325">
        <f t="shared" si="194"/>
        <v>1.0851471931424079</v>
      </c>
      <c r="N444" s="337">
        <f t="shared" si="195"/>
        <v>0.39878368189931457</v>
      </c>
      <c r="O444" s="343">
        <f t="shared" si="196"/>
        <v>1.035875047504379</v>
      </c>
      <c r="P444" s="691">
        <f t="shared" si="197"/>
        <v>0.26394837039084623</v>
      </c>
      <c r="Q444" s="336">
        <f t="shared" si="212"/>
        <v>4.5605553666064447</v>
      </c>
      <c r="R444" s="692">
        <f t="shared" si="198"/>
        <v>0.42591597204681753</v>
      </c>
      <c r="S444" s="329">
        <f t="shared" si="199"/>
        <v>0.9849095245709214</v>
      </c>
      <c r="T444" s="330">
        <f t="shared" si="200"/>
        <v>0.27676084909556264</v>
      </c>
      <c r="U444" s="331">
        <f t="shared" si="201"/>
        <v>-1.9507726139530375</v>
      </c>
      <c r="V444" s="332">
        <f t="shared" si="202"/>
        <v>-136.00051800707561</v>
      </c>
      <c r="W444" s="334">
        <f t="shared" si="203"/>
        <v>43.999481992924387</v>
      </c>
      <c r="Y444" s="307">
        <f t="shared" si="204"/>
        <v>46507.75</v>
      </c>
      <c r="Z444" s="307">
        <f t="shared" si="205"/>
        <v>2162970810.0625</v>
      </c>
      <c r="AB444" s="333">
        <f t="shared" si="206"/>
        <v>34.026374101610074</v>
      </c>
      <c r="AC444" s="334">
        <f t="shared" si="207"/>
        <v>-28.108468407435907</v>
      </c>
      <c r="AE444" s="333">
        <f t="shared" si="208"/>
        <v>-11.061739672980412</v>
      </c>
      <c r="AF444" s="334">
        <f t="shared" si="209"/>
        <v>-98.611989596292403</v>
      </c>
      <c r="AH444">
        <f t="shared" si="210"/>
        <v>0</v>
      </c>
      <c r="AI444">
        <f t="shared" si="215"/>
        <v>0</v>
      </c>
    </row>
    <row r="445" spans="1:35" x14ac:dyDescent="0.25">
      <c r="A445" s="335">
        <v>46774</v>
      </c>
      <c r="B445" s="352">
        <f t="shared" si="211"/>
        <v>46.774000000000001</v>
      </c>
      <c r="C445" s="325">
        <f t="shared" si="186"/>
        <v>99.632080896041259</v>
      </c>
      <c r="D445" s="326">
        <f t="shared" si="187"/>
        <v>1.5607592304926408</v>
      </c>
      <c r="E445" s="326">
        <f t="shared" si="188"/>
        <v>1.0068859845036444</v>
      </c>
      <c r="F445" s="327">
        <f t="shared" si="189"/>
        <v>0.11701881319271473</v>
      </c>
      <c r="G445" s="326">
        <f t="shared" si="190"/>
        <v>1</v>
      </c>
      <c r="H445" s="327">
        <f t="shared" si="191"/>
        <v>0</v>
      </c>
      <c r="I445" s="325">
        <f t="shared" si="192"/>
        <v>15434.24879951531</v>
      </c>
      <c r="J445" s="328">
        <f t="shared" si="193"/>
        <v>1.5707315358216727</v>
      </c>
      <c r="K445" s="336">
        <f t="shared" si="213"/>
        <v>10.962532315926738</v>
      </c>
      <c r="L445" s="337">
        <f t="shared" si="214"/>
        <v>1.4794495437732511</v>
      </c>
      <c r="M445" s="325">
        <f t="shared" si="194"/>
        <v>1.0860861295972588</v>
      </c>
      <c r="N445" s="337">
        <f t="shared" si="195"/>
        <v>0.40083043378224148</v>
      </c>
      <c r="O445" s="343">
        <f t="shared" si="196"/>
        <v>1.0362797697232966</v>
      </c>
      <c r="P445" s="691">
        <f t="shared" si="197"/>
        <v>0.2653896619658882</v>
      </c>
      <c r="Q445" s="336">
        <f t="shared" si="212"/>
        <v>4.5649865715720406</v>
      </c>
      <c r="R445" s="692">
        <f t="shared" si="198"/>
        <v>0.42807140722650189</v>
      </c>
      <c r="S445" s="329">
        <f t="shared" si="199"/>
        <v>0.98475120335305433</v>
      </c>
      <c r="T445" s="330">
        <f t="shared" si="200"/>
        <v>0.27843332386535236</v>
      </c>
      <c r="U445" s="331">
        <f t="shared" si="201"/>
        <v>-2.0112525286372556</v>
      </c>
      <c r="V445" s="332">
        <f t="shared" si="202"/>
        <v>-136.19022956594321</v>
      </c>
      <c r="W445" s="334">
        <f t="shared" si="203"/>
        <v>43.809770434056787</v>
      </c>
      <c r="Y445" s="307">
        <f t="shared" si="204"/>
        <v>46774</v>
      </c>
      <c r="Z445" s="307">
        <f t="shared" si="205"/>
        <v>2187807076</v>
      </c>
      <c r="AB445" s="333">
        <f t="shared" si="206"/>
        <v>34.018446850097192</v>
      </c>
      <c r="AC445" s="334">
        <f t="shared" si="207"/>
        <v>-28.195965078260333</v>
      </c>
      <c r="AE445" s="333">
        <f t="shared" si="208"/>
        <v>-11.10924986387856</v>
      </c>
      <c r="AF445" s="334">
        <f t="shared" si="209"/>
        <v>-98.673287069776549</v>
      </c>
      <c r="AH445">
        <f t="shared" si="210"/>
        <v>0</v>
      </c>
      <c r="AI445">
        <f t="shared" si="215"/>
        <v>0</v>
      </c>
    </row>
    <row r="446" spans="1:35" x14ac:dyDescent="0.25">
      <c r="A446" s="335">
        <v>47046.25</v>
      </c>
      <c r="B446" s="352">
        <f t="shared" si="211"/>
        <v>47.046250000000001</v>
      </c>
      <c r="C446" s="325">
        <f t="shared" si="186"/>
        <v>100.21193528899501</v>
      </c>
      <c r="D446" s="326">
        <f t="shared" si="187"/>
        <v>1.5608173098833347</v>
      </c>
      <c r="E446" s="326">
        <f t="shared" si="188"/>
        <v>1.0069661000177252</v>
      </c>
      <c r="F446" s="327">
        <f t="shared" si="189"/>
        <v>0.11769367155680868</v>
      </c>
      <c r="G446" s="326">
        <f t="shared" si="190"/>
        <v>1</v>
      </c>
      <c r="H446" s="327">
        <f t="shared" si="191"/>
        <v>0</v>
      </c>
      <c r="I446" s="325">
        <f t="shared" si="192"/>
        <v>15524.084482118458</v>
      </c>
      <c r="J446" s="328">
        <f t="shared" si="193"/>
        <v>1.5707319107578772</v>
      </c>
      <c r="K446" s="336">
        <f t="shared" si="213"/>
        <v>11.025810763252734</v>
      </c>
      <c r="L446" s="337">
        <f t="shared" si="214"/>
        <v>1.4799752442969951</v>
      </c>
      <c r="M446" s="325">
        <f t="shared" si="194"/>
        <v>1.0870509217294977</v>
      </c>
      <c r="N446" s="337">
        <f t="shared" si="195"/>
        <v>0.40291964450451423</v>
      </c>
      <c r="O446" s="343">
        <f t="shared" si="196"/>
        <v>1.0366958366821273</v>
      </c>
      <c r="P446" s="691">
        <f t="shared" si="197"/>
        <v>0.26686226653594181</v>
      </c>
      <c r="Q446" s="336">
        <f t="shared" si="212"/>
        <v>4.5695393100133659</v>
      </c>
      <c r="R446" s="692">
        <f t="shared" si="198"/>
        <v>0.43027110369915833</v>
      </c>
      <c r="S446" s="329">
        <f t="shared" si="199"/>
        <v>0.98458873924369916</v>
      </c>
      <c r="T446" s="330">
        <f t="shared" si="200"/>
        <v>0.28014504011590058</v>
      </c>
      <c r="U446" s="331">
        <f t="shared" si="201"/>
        <v>-2.072834353751547</v>
      </c>
      <c r="V446" s="332">
        <f t="shared" si="202"/>
        <v>-136.38422816617773</v>
      </c>
      <c r="W446" s="334">
        <f t="shared" si="203"/>
        <v>43.615771833822265</v>
      </c>
      <c r="Y446" s="307">
        <f t="shared" si="204"/>
        <v>47046.25</v>
      </c>
      <c r="Z446" s="307">
        <f t="shared" si="205"/>
        <v>2213349639.0625</v>
      </c>
      <c r="AB446" s="333">
        <f t="shared" si="206"/>
        <v>34.010317365726152</v>
      </c>
      <c r="AC446" s="334">
        <f t="shared" si="207"/>
        <v>-28.285569096226187</v>
      </c>
      <c r="AE446" s="333">
        <f t="shared" si="208"/>
        <v>-11.157530626616964</v>
      </c>
      <c r="AF446" s="334">
        <f t="shared" si="209"/>
        <v>-98.736022354660378</v>
      </c>
      <c r="AH446">
        <f t="shared" si="210"/>
        <v>0</v>
      </c>
      <c r="AI446">
        <f t="shared" si="215"/>
        <v>0</v>
      </c>
    </row>
    <row r="447" spans="1:35" x14ac:dyDescent="0.25">
      <c r="A447" s="335">
        <v>47318.5</v>
      </c>
      <c r="B447" s="352">
        <f t="shared" si="211"/>
        <v>47.3185</v>
      </c>
      <c r="C447" s="325">
        <f t="shared" si="186"/>
        <v>100.7917900160958</v>
      </c>
      <c r="D447" s="326">
        <f t="shared" si="187"/>
        <v>1.560874721013259</v>
      </c>
      <c r="E447" s="326">
        <f t="shared" si="188"/>
        <v>1.0070466740651245</v>
      </c>
      <c r="F447" s="327">
        <f t="shared" si="189"/>
        <v>0.1183684222370049</v>
      </c>
      <c r="G447" s="326">
        <f t="shared" si="190"/>
        <v>1</v>
      </c>
      <c r="H447" s="327">
        <f t="shared" si="191"/>
        <v>0</v>
      </c>
      <c r="I447" s="325">
        <f t="shared" si="192"/>
        <v>15613.920164723768</v>
      </c>
      <c r="J447" s="328">
        <f t="shared" si="193"/>
        <v>1.5707322813796432</v>
      </c>
      <c r="K447" s="336">
        <f t="shared" si="213"/>
        <v>11.089092222906975</v>
      </c>
      <c r="L447" s="337">
        <f t="shared" si="214"/>
        <v>1.4804949449954989</v>
      </c>
      <c r="M447" s="325">
        <f t="shared" si="194"/>
        <v>1.0880204501963517</v>
      </c>
      <c r="N447" s="337">
        <f t="shared" si="195"/>
        <v>0.4050051409499098</v>
      </c>
      <c r="O447" s="343">
        <f t="shared" si="196"/>
        <v>1.0371141499758056</v>
      </c>
      <c r="P447" s="691">
        <f t="shared" si="197"/>
        <v>0.26833368636364074</v>
      </c>
      <c r="Q447" s="336">
        <f t="shared" si="212"/>
        <v>4.574113900340298</v>
      </c>
      <c r="R447" s="692">
        <f t="shared" si="198"/>
        <v>0.43246643236668014</v>
      </c>
      <c r="S447" s="329">
        <f t="shared" si="199"/>
        <v>0.98442570011800312</v>
      </c>
      <c r="T447" s="330">
        <f t="shared" si="200"/>
        <v>0.28185833431158175</v>
      </c>
      <c r="U447" s="331">
        <f t="shared" si="201"/>
        <v>-2.1341554692923914</v>
      </c>
      <c r="V447" s="332">
        <f t="shared" si="202"/>
        <v>-136.57823338633264</v>
      </c>
      <c r="W447" s="334">
        <f t="shared" si="203"/>
        <v>43.421766613667359</v>
      </c>
      <c r="Y447" s="307">
        <f t="shared" si="204"/>
        <v>47318.5</v>
      </c>
      <c r="Z447" s="307">
        <f t="shared" si="205"/>
        <v>2239040442.25</v>
      </c>
      <c r="AB447" s="333">
        <f t="shared" si="206"/>
        <v>34.002164051104764</v>
      </c>
      <c r="AC447" s="334">
        <f t="shared" si="207"/>
        <v>-28.37530381926814</v>
      </c>
      <c r="AE447" s="333">
        <f t="shared" si="208"/>
        <v>-11.205511390662867</v>
      </c>
      <c r="AF447" s="334">
        <f t="shared" si="209"/>
        <v>-98.798815930451838</v>
      </c>
      <c r="AH447">
        <f t="shared" si="210"/>
        <v>0</v>
      </c>
      <c r="AI447">
        <f t="shared" si="215"/>
        <v>0</v>
      </c>
    </row>
    <row r="448" spans="1:35" x14ac:dyDescent="0.25">
      <c r="A448" s="335">
        <v>47590.75</v>
      </c>
      <c r="B448" s="352">
        <f t="shared" si="211"/>
        <v>47.59075</v>
      </c>
      <c r="C448" s="325">
        <f t="shared" si="186"/>
        <v>101.37164507160955</v>
      </c>
      <c r="D448" s="326">
        <f t="shared" si="187"/>
        <v>1.5609314753495698</v>
      </c>
      <c r="E448" s="326">
        <f t="shared" si="188"/>
        <v>1.0071277065357889</v>
      </c>
      <c r="F448" s="327">
        <f t="shared" si="189"/>
        <v>0.11904306464481042</v>
      </c>
      <c r="G448" s="326">
        <f t="shared" si="190"/>
        <v>1</v>
      </c>
      <c r="H448" s="327">
        <f t="shared" si="191"/>
        <v>0</v>
      </c>
      <c r="I448" s="325">
        <f t="shared" si="192"/>
        <v>15703.755847331195</v>
      </c>
      <c r="J448" s="328">
        <f t="shared" si="193"/>
        <v>1.5707326477610146</v>
      </c>
      <c r="K448" s="336">
        <f t="shared" si="213"/>
        <v>11.152376643611282</v>
      </c>
      <c r="L448" s="337">
        <f t="shared" si="214"/>
        <v>1.4810087477240583</v>
      </c>
      <c r="M448" s="325">
        <f t="shared" si="194"/>
        <v>1.0889947023475908</v>
      </c>
      <c r="N448" s="337">
        <f t="shared" si="195"/>
        <v>0.40708691492225557</v>
      </c>
      <c r="O448" s="343">
        <f t="shared" si="196"/>
        <v>1.0375347068872993</v>
      </c>
      <c r="P448" s="691">
        <f t="shared" si="197"/>
        <v>0.26980391651437341</v>
      </c>
      <c r="Q448" s="336">
        <f t="shared" si="212"/>
        <v>4.5787102770625054</v>
      </c>
      <c r="R448" s="692">
        <f t="shared" si="198"/>
        <v>0.43465738550053512</v>
      </c>
      <c r="S448" s="329">
        <f t="shared" si="199"/>
        <v>0.98426209254730412</v>
      </c>
      <c r="T448" s="330">
        <f t="shared" si="200"/>
        <v>0.28357321525258694</v>
      </c>
      <c r="U448" s="331">
        <f t="shared" si="201"/>
        <v>-2.1952190530843279</v>
      </c>
      <c r="V448" s="332">
        <f t="shared" si="202"/>
        <v>-136.77223996003735</v>
      </c>
      <c r="W448" s="334">
        <f t="shared" si="203"/>
        <v>43.227760039962646</v>
      </c>
      <c r="Y448" s="307">
        <f t="shared" si="204"/>
        <v>47590.75</v>
      </c>
      <c r="Z448" s="307">
        <f t="shared" si="205"/>
        <v>2264879485.5625</v>
      </c>
      <c r="AB448" s="333">
        <f t="shared" si="206"/>
        <v>33.993986934199832</v>
      </c>
      <c r="AC448" s="334">
        <f t="shared" si="207"/>
        <v>-28.465162946143934</v>
      </c>
      <c r="AE448" s="333">
        <f t="shared" si="208"/>
        <v>-11.253195548883783</v>
      </c>
      <c r="AF448" s="334">
        <f t="shared" si="209"/>
        <v>-98.861668992102551</v>
      </c>
      <c r="AH448">
        <f t="shared" si="210"/>
        <v>0</v>
      </c>
      <c r="AI448">
        <f t="shared" si="215"/>
        <v>0</v>
      </c>
    </row>
    <row r="449" spans="1:35" x14ac:dyDescent="0.25">
      <c r="A449" s="335">
        <v>47863</v>
      </c>
      <c r="B449" s="352">
        <f t="shared" si="211"/>
        <v>47.863</v>
      </c>
      <c r="C449" s="325">
        <f t="shared" si="186"/>
        <v>101.95150044993269</v>
      </c>
      <c r="D449" s="326">
        <f t="shared" si="187"/>
        <v>1.5609875840985596</v>
      </c>
      <c r="E449" s="326">
        <f t="shared" si="188"/>
        <v>1.0072091973190747</v>
      </c>
      <c r="F449" s="327">
        <f t="shared" si="189"/>
        <v>0.11971759819231532</v>
      </c>
      <c r="G449" s="326">
        <f t="shared" si="190"/>
        <v>1</v>
      </c>
      <c r="H449" s="327">
        <f t="shared" si="191"/>
        <v>0</v>
      </c>
      <c r="I449" s="325">
        <f t="shared" si="192"/>
        <v>15793.591529940706</v>
      </c>
      <c r="J449" s="328">
        <f t="shared" si="193"/>
        <v>1.5707330099743513</v>
      </c>
      <c r="K449" s="336">
        <f t="shared" si="213"/>
        <v>11.21566397524245</v>
      </c>
      <c r="L449" s="337">
        <f t="shared" si="214"/>
        <v>1.4815167520516068</v>
      </c>
      <c r="M449" s="325">
        <f t="shared" si="194"/>
        <v>1.0899736655166896</v>
      </c>
      <c r="N449" s="337">
        <f t="shared" si="195"/>
        <v>0.40916495838366967</v>
      </c>
      <c r="O449" s="343">
        <f t="shared" si="196"/>
        <v>1.0379575046894187</v>
      </c>
      <c r="P449" s="691">
        <f t="shared" si="197"/>
        <v>0.27127295208207691</v>
      </c>
      <c r="Q449" s="336">
        <f t="shared" si="212"/>
        <v>4.5833283746410993</v>
      </c>
      <c r="R449" s="692">
        <f t="shared" si="198"/>
        <v>0.43684395556950234</v>
      </c>
      <c r="S449" s="329">
        <f t="shared" si="199"/>
        <v>0.98409792314588984</v>
      </c>
      <c r="T449" s="330">
        <f t="shared" si="200"/>
        <v>0.28528969172915358</v>
      </c>
      <c r="U449" s="331">
        <f t="shared" si="201"/>
        <v>-2.2560282222212455</v>
      </c>
      <c r="V449" s="332">
        <f t="shared" si="202"/>
        <v>-136.96624275501242</v>
      </c>
      <c r="W449" s="334">
        <f t="shared" si="203"/>
        <v>43.033757244987584</v>
      </c>
      <c r="Y449" s="307">
        <f t="shared" si="204"/>
        <v>47863</v>
      </c>
      <c r="Z449" s="307">
        <f t="shared" si="205"/>
        <v>2290866769</v>
      </c>
      <c r="AB449" s="333">
        <f t="shared" si="206"/>
        <v>33.985786047462113</v>
      </c>
      <c r="AC449" s="334">
        <f t="shared" si="207"/>
        <v>-28.555140315583092</v>
      </c>
      <c r="AE449" s="333">
        <f t="shared" si="208"/>
        <v>-11.30058643750408</v>
      </c>
      <c r="AF449" s="334">
        <f t="shared" si="209"/>
        <v>-98.924582719014069</v>
      </c>
      <c r="AH449">
        <f t="shared" si="210"/>
        <v>0</v>
      </c>
      <c r="AI449">
        <f t="shared" si="215"/>
        <v>0</v>
      </c>
    </row>
    <row r="450" spans="1:35" x14ac:dyDescent="0.25">
      <c r="A450" s="335">
        <v>48141.75</v>
      </c>
      <c r="B450" s="352">
        <f t="shared" si="211"/>
        <v>48.141750000000002</v>
      </c>
      <c r="C450" s="325">
        <f t="shared" si="186"/>
        <v>102.54520027071463</v>
      </c>
      <c r="D450" s="326">
        <f t="shared" si="187"/>
        <v>1.561044374995789</v>
      </c>
      <c r="E450" s="326">
        <f t="shared" si="188"/>
        <v>1.0072931084446404</v>
      </c>
      <c r="F450" s="327">
        <f t="shared" si="189"/>
        <v>0.12040812290242332</v>
      </c>
      <c r="G450" s="326">
        <f t="shared" si="190"/>
        <v>1</v>
      </c>
      <c r="H450" s="327">
        <f t="shared" si="191"/>
        <v>0</v>
      </c>
      <c r="I450" s="325">
        <f t="shared" si="192"/>
        <v>15885.572049786359</v>
      </c>
      <c r="J450" s="328">
        <f t="shared" si="193"/>
        <v>1.5707333765909299</v>
      </c>
      <c r="K450" s="336">
        <f t="shared" si="213"/>
        <v>11.280465264018769</v>
      </c>
      <c r="L450" s="337">
        <f t="shared" si="214"/>
        <v>1.4820309789802379</v>
      </c>
      <c r="M450" s="325">
        <f t="shared" si="194"/>
        <v>1.0909808693738425</v>
      </c>
      <c r="N450" s="337">
        <f t="shared" si="195"/>
        <v>0.41128874196883719</v>
      </c>
      <c r="O450" s="343">
        <f t="shared" si="196"/>
        <v>1.0383927157604695</v>
      </c>
      <c r="P450" s="691">
        <f t="shared" si="197"/>
        <v>0.27277581824429858</v>
      </c>
      <c r="Q450" s="336">
        <f t="shared" si="212"/>
        <v>4.5880791662658549</v>
      </c>
      <c r="R450" s="692">
        <f t="shared" si="198"/>
        <v>0.43907818130746773</v>
      </c>
      <c r="S450" s="329">
        <f t="shared" si="199"/>
        <v>0.98392925902245854</v>
      </c>
      <c r="T450" s="330">
        <f t="shared" si="200"/>
        <v>0.28704881157869622</v>
      </c>
      <c r="U450" s="331">
        <f t="shared" si="201"/>
        <v>-2.3180288118834871</v>
      </c>
      <c r="V450" s="332">
        <f t="shared" si="202"/>
        <v>-137.16486825134913</v>
      </c>
      <c r="W450" s="334">
        <f t="shared" si="203"/>
        <v>42.835131748650866</v>
      </c>
      <c r="Y450" s="307">
        <f t="shared" si="204"/>
        <v>48141.75</v>
      </c>
      <c r="Z450" s="307">
        <f t="shared" si="205"/>
        <v>2317628093.0625</v>
      </c>
      <c r="AB450" s="333">
        <f t="shared" si="206"/>
        <v>33.977364774171136</v>
      </c>
      <c r="AC450" s="334">
        <f t="shared" si="207"/>
        <v>-28.647382124577874</v>
      </c>
      <c r="AE450" s="333">
        <f t="shared" si="208"/>
        <v>-11.348808359099095</v>
      </c>
      <c r="AF450" s="334">
        <f t="shared" si="209"/>
        <v>-98.98906258931153</v>
      </c>
      <c r="AH450">
        <f t="shared" si="210"/>
        <v>0</v>
      </c>
      <c r="AI450">
        <f t="shared" si="215"/>
        <v>0</v>
      </c>
    </row>
    <row r="451" spans="1:35" x14ac:dyDescent="0.25">
      <c r="A451" s="335">
        <v>48420.5</v>
      </c>
      <c r="B451" s="352">
        <f t="shared" si="211"/>
        <v>48.420499999999997</v>
      </c>
      <c r="C451" s="325">
        <f t="shared" si="186"/>
        <v>103.13890041841839</v>
      </c>
      <c r="D451" s="326">
        <f t="shared" si="187"/>
        <v>1.5611005120804475</v>
      </c>
      <c r="E451" s="326">
        <f t="shared" si="188"/>
        <v>1.0073774997919644</v>
      </c>
      <c r="F451" s="327">
        <f t="shared" si="189"/>
        <v>0.12109853224660862</v>
      </c>
      <c r="G451" s="326">
        <f t="shared" si="190"/>
        <v>1</v>
      </c>
      <c r="H451" s="327">
        <f t="shared" si="191"/>
        <v>0</v>
      </c>
      <c r="I451" s="325">
        <f t="shared" si="192"/>
        <v>15977.552569634123</v>
      </c>
      <c r="J451" s="328">
        <f t="shared" si="193"/>
        <v>1.5707337389863887</v>
      </c>
      <c r="K451" s="336">
        <f t="shared" si="213"/>
        <v>11.345269501605584</v>
      </c>
      <c r="L451" s="337">
        <f t="shared" si="214"/>
        <v>1.4825393315083077</v>
      </c>
      <c r="M451" s="325">
        <f t="shared" si="194"/>
        <v>1.0919929849625742</v>
      </c>
      <c r="N451" s="337">
        <f t="shared" si="195"/>
        <v>0.41340859823580633</v>
      </c>
      <c r="O451" s="343">
        <f t="shared" si="196"/>
        <v>1.0388302701840653</v>
      </c>
      <c r="P451" s="691">
        <f t="shared" si="197"/>
        <v>0.27427742178378645</v>
      </c>
      <c r="Q451" s="336">
        <f t="shared" si="212"/>
        <v>4.5928525891108363</v>
      </c>
      <c r="R451" s="692">
        <f t="shared" si="198"/>
        <v>0.44130779684017724</v>
      </c>
      <c r="S451" s="329">
        <f t="shared" si="199"/>
        <v>0.98376002009211971</v>
      </c>
      <c r="T451" s="330">
        <f t="shared" si="200"/>
        <v>0.28880962267769189</v>
      </c>
      <c r="U451" s="331">
        <f t="shared" si="201"/>
        <v>-2.379769118184238</v>
      </c>
      <c r="V451" s="332">
        <f t="shared" si="202"/>
        <v>-137.36347931382051</v>
      </c>
      <c r="W451" s="334">
        <f t="shared" si="203"/>
        <v>42.636520686179495</v>
      </c>
      <c r="Y451" s="307">
        <f t="shared" si="204"/>
        <v>48420.5</v>
      </c>
      <c r="Z451" s="307">
        <f t="shared" si="205"/>
        <v>2344544820.25</v>
      </c>
      <c r="AB451" s="333">
        <f t="shared" si="206"/>
        <v>33.968918665035538</v>
      </c>
      <c r="AC451" s="334">
        <f t="shared" si="207"/>
        <v>-28.739735251322184</v>
      </c>
      <c r="AE451" s="333">
        <f t="shared" si="208"/>
        <v>-11.396729742205757</v>
      </c>
      <c r="AF451" s="334">
        <f t="shared" si="209"/>
        <v>-99.053608510344432</v>
      </c>
      <c r="AH451">
        <f t="shared" si="210"/>
        <v>0</v>
      </c>
      <c r="AI451">
        <f t="shared" si="215"/>
        <v>0</v>
      </c>
    </row>
    <row r="452" spans="1:35" x14ac:dyDescent="0.25">
      <c r="A452" s="335">
        <v>48699.25</v>
      </c>
      <c r="B452" s="352">
        <f t="shared" si="211"/>
        <v>48.699249999999999</v>
      </c>
      <c r="C452" s="325">
        <f t="shared" si="186"/>
        <v>103.73260088743071</v>
      </c>
      <c r="D452" s="326">
        <f t="shared" si="187"/>
        <v>1.5611560065782195</v>
      </c>
      <c r="E452" s="326">
        <f t="shared" si="188"/>
        <v>1.0074623712403681</v>
      </c>
      <c r="F452" s="327">
        <f t="shared" si="189"/>
        <v>0.12178882559575759</v>
      </c>
      <c r="G452" s="326">
        <f t="shared" si="190"/>
        <v>1</v>
      </c>
      <c r="H452" s="327">
        <f t="shared" si="191"/>
        <v>0</v>
      </c>
      <c r="I452" s="325">
        <f t="shared" si="192"/>
        <v>16069.533089483963</v>
      </c>
      <c r="J452" s="328">
        <f t="shared" si="193"/>
        <v>1.5707340972332113</v>
      </c>
      <c r="K452" s="336">
        <f t="shared" si="213"/>
        <v>11.410076637759033</v>
      </c>
      <c r="L452" s="337">
        <f t="shared" si="214"/>
        <v>1.4830419094673559</v>
      </c>
      <c r="M452" s="325">
        <f t="shared" si="194"/>
        <v>1.0930099986382522</v>
      </c>
      <c r="N452" s="337">
        <f t="shared" si="195"/>
        <v>0.4155245190686821</v>
      </c>
      <c r="O452" s="343">
        <f t="shared" si="196"/>
        <v>1.0392701650004048</v>
      </c>
      <c r="P452" s="691">
        <f t="shared" si="197"/>
        <v>0.27577775752793304</v>
      </c>
      <c r="Q452" s="336">
        <f t="shared" si="212"/>
        <v>4.5976485726936458</v>
      </c>
      <c r="R452" s="692">
        <f t="shared" si="198"/>
        <v>0.4435327947199077</v>
      </c>
      <c r="S452" s="329">
        <f t="shared" si="199"/>
        <v>0.98359021359475118</v>
      </c>
      <c r="T452" s="330">
        <f t="shared" si="200"/>
        <v>0.29057213442748597</v>
      </c>
      <c r="U452" s="331">
        <f t="shared" si="201"/>
        <v>-2.4412522984566363</v>
      </c>
      <c r="V452" s="332">
        <f t="shared" si="202"/>
        <v>-137.56207084917986</v>
      </c>
      <c r="W452" s="334">
        <f t="shared" si="203"/>
        <v>42.437929150820139</v>
      </c>
      <c r="Y452" s="307">
        <f t="shared" si="204"/>
        <v>48699.25</v>
      </c>
      <c r="Z452" s="307">
        <f t="shared" si="205"/>
        <v>2371616950.5625</v>
      </c>
      <c r="AB452" s="333">
        <f t="shared" si="206"/>
        <v>33.960447768446038</v>
      </c>
      <c r="AC452" s="334">
        <f t="shared" si="207"/>
        <v>-28.832193515036625</v>
      </c>
      <c r="AE452" s="333">
        <f t="shared" si="208"/>
        <v>-11.444353991549434</v>
      </c>
      <c r="AF452" s="334">
        <f t="shared" si="209"/>
        <v>-99.118221700000021</v>
      </c>
      <c r="AH452">
        <f t="shared" si="210"/>
        <v>0</v>
      </c>
      <c r="AI452">
        <f t="shared" si="215"/>
        <v>0</v>
      </c>
    </row>
    <row r="453" spans="1:35" x14ac:dyDescent="0.25">
      <c r="A453" s="335">
        <v>48978</v>
      </c>
      <c r="B453" s="352">
        <f t="shared" si="211"/>
        <v>48.978000000000002</v>
      </c>
      <c r="C453" s="325">
        <f t="shared" si="186"/>
        <v>104.32630167226606</v>
      </c>
      <c r="D453" s="326">
        <f t="shared" si="187"/>
        <v>1.5612108694592732</v>
      </c>
      <c r="E453" s="326">
        <f t="shared" si="188"/>
        <v>1.0075477226685263</v>
      </c>
      <c r="F453" s="327">
        <f t="shared" si="189"/>
        <v>0.12247900232141014</v>
      </c>
      <c r="G453" s="326">
        <f t="shared" si="190"/>
        <v>1</v>
      </c>
      <c r="H453" s="327">
        <f t="shared" si="191"/>
        <v>0</v>
      </c>
      <c r="I453" s="325">
        <f t="shared" si="192"/>
        <v>16161.513609335838</v>
      </c>
      <c r="J453" s="328">
        <f t="shared" si="193"/>
        <v>1.5707344514022317</v>
      </c>
      <c r="K453" s="336">
        <f t="shared" si="213"/>
        <v>11.474886623368096</v>
      </c>
      <c r="L453" s="337">
        <f t="shared" si="214"/>
        <v>1.4835388104453546</v>
      </c>
      <c r="M453" s="325">
        <f t="shared" si="194"/>
        <v>1.0940318967410696</v>
      </c>
      <c r="N453" s="337">
        <f t="shared" si="195"/>
        <v>0.41763649652262924</v>
      </c>
      <c r="O453" s="343">
        <f t="shared" si="196"/>
        <v>1.0397123972388784</v>
      </c>
      <c r="P453" s="691">
        <f t="shared" si="197"/>
        <v>0.27727682033569218</v>
      </c>
      <c r="Q453" s="336">
        <f t="shared" si="212"/>
        <v>4.6024670464932553</v>
      </c>
      <c r="R453" s="692">
        <f t="shared" si="198"/>
        <v>0.44575316771097995</v>
      </c>
      <c r="S453" s="329">
        <f t="shared" si="199"/>
        <v>0.98341984681775962</v>
      </c>
      <c r="T453" s="330">
        <f t="shared" si="200"/>
        <v>0.29233635621765636</v>
      </c>
      <c r="U453" s="331">
        <f t="shared" si="201"/>
        <v>-2.5024814495538945</v>
      </c>
      <c r="V453" s="332">
        <f t="shared" si="202"/>
        <v>-137.76063789742327</v>
      </c>
      <c r="W453" s="334">
        <f t="shared" si="203"/>
        <v>42.239362102576735</v>
      </c>
      <c r="Y453" s="307">
        <f t="shared" si="204"/>
        <v>48978</v>
      </c>
      <c r="Z453" s="307">
        <f t="shared" si="205"/>
        <v>2398844484</v>
      </c>
      <c r="AB453" s="333">
        <f t="shared" si="206"/>
        <v>33.9519521370324</v>
      </c>
      <c r="AC453" s="334">
        <f t="shared" si="207"/>
        <v>-28.924750873195205</v>
      </c>
      <c r="AE453" s="333">
        <f t="shared" si="208"/>
        <v>-11.491684455126009</v>
      </c>
      <c r="AF453" s="334">
        <f t="shared" si="209"/>
        <v>-99.182903360813967</v>
      </c>
      <c r="AH453">
        <f t="shared" si="210"/>
        <v>0</v>
      </c>
      <c r="AI453">
        <f t="shared" si="215"/>
        <v>0</v>
      </c>
    </row>
    <row r="454" spans="1:35" x14ac:dyDescent="0.25">
      <c r="A454" s="335">
        <v>49263.25</v>
      </c>
      <c r="B454" s="352">
        <f t="shared" si="211"/>
        <v>49.263249999999999</v>
      </c>
      <c r="C454" s="325">
        <f t="shared" si="186"/>
        <v>104.93384692232591</v>
      </c>
      <c r="D454" s="326">
        <f t="shared" si="187"/>
        <v>1.5612663689579049</v>
      </c>
      <c r="E454" s="326">
        <f t="shared" si="188"/>
        <v>1.0076355611257253</v>
      </c>
      <c r="F454" s="327">
        <f t="shared" si="189"/>
        <v>0.12318515146472668</v>
      </c>
      <c r="G454" s="326">
        <f t="shared" si="190"/>
        <v>1</v>
      </c>
      <c r="H454" s="327">
        <f t="shared" si="191"/>
        <v>0</v>
      </c>
      <c r="I454" s="325">
        <f t="shared" si="192"/>
        <v>16255.638966424005</v>
      </c>
      <c r="J454" s="328">
        <f t="shared" si="193"/>
        <v>1.5707348096805773</v>
      </c>
      <c r="K454" s="336">
        <f t="shared" si="213"/>
        <v>11.541210773030967</v>
      </c>
      <c r="L454" s="337">
        <f t="shared" si="214"/>
        <v>1.4840415207851776</v>
      </c>
      <c r="M454" s="325">
        <f t="shared" si="194"/>
        <v>1.0950826661920332</v>
      </c>
      <c r="N454" s="337">
        <f t="shared" si="195"/>
        <v>0.41979363139034348</v>
      </c>
      <c r="O454" s="343">
        <f t="shared" si="196"/>
        <v>1.0401673583237452</v>
      </c>
      <c r="P454" s="691">
        <f t="shared" si="197"/>
        <v>0.27880951573094936</v>
      </c>
      <c r="Q454" s="336">
        <f t="shared" si="212"/>
        <v>4.6074210886967588</v>
      </c>
      <c r="R454" s="692">
        <f t="shared" si="198"/>
        <v>0.44802052097454242</v>
      </c>
      <c r="S454" s="329">
        <f t="shared" si="199"/>
        <v>0.98324493498627519</v>
      </c>
      <c r="T454" s="330">
        <f t="shared" si="200"/>
        <v>0.29414349691379993</v>
      </c>
      <c r="U454" s="331">
        <f t="shared" si="201"/>
        <v>-2.5648785510642824</v>
      </c>
      <c r="V454" s="332">
        <f t="shared" si="202"/>
        <v>-137.96380481999682</v>
      </c>
      <c r="W454" s="334">
        <f t="shared" si="203"/>
        <v>42.036195180003176</v>
      </c>
      <c r="Y454" s="307">
        <f t="shared" si="204"/>
        <v>49263.25</v>
      </c>
      <c r="Z454" s="307">
        <f t="shared" si="205"/>
        <v>2426867800.5625</v>
      </c>
      <c r="AB454" s="333">
        <f t="shared" si="206"/>
        <v>33.943232853685707</v>
      </c>
      <c r="AC454" s="334">
        <f t="shared" si="207"/>
        <v>-29.019562944111726</v>
      </c>
      <c r="AE454" s="333">
        <f t="shared" si="208"/>
        <v>-11.53981788194127</v>
      </c>
      <c r="AF454" s="334">
        <f t="shared" si="209"/>
        <v>-99.249165417182923</v>
      </c>
      <c r="AH454">
        <f t="shared" si="210"/>
        <v>0</v>
      </c>
      <c r="AI454">
        <f t="shared" si="215"/>
        <v>0</v>
      </c>
    </row>
    <row r="455" spans="1:35" x14ac:dyDescent="0.25">
      <c r="A455" s="335">
        <v>49548.5</v>
      </c>
      <c r="B455" s="352">
        <f t="shared" si="211"/>
        <v>49.548499999999997</v>
      </c>
      <c r="C455" s="325">
        <f t="shared" si="186"/>
        <v>105.54139249188125</v>
      </c>
      <c r="D455" s="326">
        <f t="shared" si="187"/>
        <v>1.5613212294946111</v>
      </c>
      <c r="E455" s="326">
        <f t="shared" si="188"/>
        <v>1.0077239019492443</v>
      </c>
      <c r="F455" s="327">
        <f t="shared" si="189"/>
        <v>0.12389117715273111</v>
      </c>
      <c r="G455" s="326">
        <f t="shared" si="190"/>
        <v>1</v>
      </c>
      <c r="H455" s="327">
        <f t="shared" si="191"/>
        <v>0</v>
      </c>
      <c r="I455" s="325">
        <f t="shared" si="192"/>
        <v>16349.764323514233</v>
      </c>
      <c r="J455" s="328">
        <f t="shared" si="193"/>
        <v>1.5707351638337166</v>
      </c>
      <c r="K455" s="336">
        <f t="shared" si="213"/>
        <v>11.60753780603047</v>
      </c>
      <c r="L455" s="337">
        <f t="shared" si="214"/>
        <v>1.4845384861403408</v>
      </c>
      <c r="M455" s="325">
        <f t="shared" si="194"/>
        <v>1.0961385215320865</v>
      </c>
      <c r="N455" s="337">
        <f t="shared" si="195"/>
        <v>0.42194662054040544</v>
      </c>
      <c r="O455" s="343">
        <f t="shared" si="196"/>
        <v>1.0406247607831884</v>
      </c>
      <c r="P455" s="691">
        <f t="shared" si="197"/>
        <v>0.28034086734067554</v>
      </c>
      <c r="Q455" s="336">
        <f t="shared" si="212"/>
        <v>4.6123985326903991</v>
      </c>
      <c r="R455" s="692">
        <f t="shared" si="198"/>
        <v>0.45028301648864194</v>
      </c>
      <c r="S455" s="329">
        <f t="shared" si="199"/>
        <v>0.98306945203407659</v>
      </c>
      <c r="T455" s="330">
        <f t="shared" si="200"/>
        <v>0.29595244818668504</v>
      </c>
      <c r="U455" s="331">
        <f t="shared" si="201"/>
        <v>-2.6270160120499049</v>
      </c>
      <c r="V455" s="332">
        <f t="shared" si="202"/>
        <v>-138.16693600421306</v>
      </c>
      <c r="W455" s="334">
        <f t="shared" si="203"/>
        <v>41.833063995786944</v>
      </c>
      <c r="Y455" s="307">
        <f t="shared" si="204"/>
        <v>49548.5</v>
      </c>
      <c r="Z455" s="307">
        <f t="shared" si="205"/>
        <v>2455053852.25</v>
      </c>
      <c r="AB455" s="333">
        <f t="shared" si="206"/>
        <v>33.934487792942257</v>
      </c>
      <c r="AC455" s="334">
        <f t="shared" si="207"/>
        <v>-29.114466409921288</v>
      </c>
      <c r="AE455" s="333">
        <f t="shared" si="208"/>
        <v>-11.587650579315337</v>
      </c>
      <c r="AF455" s="334">
        <f t="shared" si="209"/>
        <v>-99.315501675604466</v>
      </c>
      <c r="AH455">
        <f t="shared" si="210"/>
        <v>0</v>
      </c>
      <c r="AI455">
        <f t="shared" si="215"/>
        <v>0</v>
      </c>
    </row>
    <row r="456" spans="1:35" x14ac:dyDescent="0.25">
      <c r="A456" s="335">
        <v>49833.75</v>
      </c>
      <c r="B456" s="352">
        <f t="shared" si="211"/>
        <v>49.833750000000002</v>
      </c>
      <c r="C456" s="325">
        <f t="shared" si="186"/>
        <v>106.14893837544614</v>
      </c>
      <c r="D456" s="326">
        <f t="shared" si="187"/>
        <v>1.5613754620403986</v>
      </c>
      <c r="E456" s="326">
        <f t="shared" si="188"/>
        <v>1.0078127450069774</v>
      </c>
      <c r="F456" s="327">
        <f t="shared" si="189"/>
        <v>0.12459707871411276</v>
      </c>
      <c r="G456" s="326">
        <f t="shared" si="190"/>
        <v>1</v>
      </c>
      <c r="H456" s="327">
        <f t="shared" si="191"/>
        <v>0</v>
      </c>
      <c r="I456" s="325">
        <f t="shared" si="192"/>
        <v>16443.889680606488</v>
      </c>
      <c r="J456" s="328">
        <f t="shared" si="193"/>
        <v>1.5707355139324877</v>
      </c>
      <c r="K456" s="336">
        <f t="shared" si="213"/>
        <v>11.673867673220125</v>
      </c>
      <c r="L456" s="337">
        <f t="shared" si="214"/>
        <v>1.4850298041907117</v>
      </c>
      <c r="M456" s="325">
        <f t="shared" si="194"/>
        <v>1.0971994480784935</v>
      </c>
      <c r="N456" s="337">
        <f t="shared" si="195"/>
        <v>0.42409545601041959</v>
      </c>
      <c r="O456" s="343">
        <f t="shared" si="196"/>
        <v>1.0410846013993411</v>
      </c>
      <c r="P456" s="691">
        <f t="shared" si="197"/>
        <v>0.28187086975865022</v>
      </c>
      <c r="Q456" s="336">
        <f t="shared" si="212"/>
        <v>4.6173993028020641</v>
      </c>
      <c r="R456" s="692">
        <f t="shared" si="198"/>
        <v>0.45254064718092957</v>
      </c>
      <c r="S456" s="329">
        <f t="shared" si="199"/>
        <v>0.98289340592546404</v>
      </c>
      <c r="T456" s="330">
        <f t="shared" si="200"/>
        <v>0.29776322005847156</v>
      </c>
      <c r="U456" s="331">
        <f t="shared" si="201"/>
        <v>-2.6888969638678168</v>
      </c>
      <c r="V456" s="332">
        <f t="shared" si="202"/>
        <v>-138.37002654709605</v>
      </c>
      <c r="W456" s="334">
        <f t="shared" si="203"/>
        <v>41.629973452903954</v>
      </c>
      <c r="Y456" s="307">
        <f t="shared" si="204"/>
        <v>49833.75</v>
      </c>
      <c r="Z456" s="307">
        <f t="shared" si="205"/>
        <v>2483402639.0625</v>
      </c>
      <c r="AB456" s="333">
        <f t="shared" si="206"/>
        <v>33.925717023971544</v>
      </c>
      <c r="AC456" s="334">
        <f t="shared" si="207"/>
        <v>-29.209455221826794</v>
      </c>
      <c r="AE456" s="333">
        <f t="shared" si="208"/>
        <v>-11.635185958828213</v>
      </c>
      <c r="AF456" s="334">
        <f t="shared" si="209"/>
        <v>-99.381913377361712</v>
      </c>
      <c r="AH456">
        <f t="shared" si="210"/>
        <v>0</v>
      </c>
      <c r="AI456">
        <f t="shared" si="215"/>
        <v>0</v>
      </c>
    </row>
    <row r="457" spans="1:35" x14ac:dyDescent="0.25">
      <c r="A457" s="335">
        <v>50119</v>
      </c>
      <c r="B457" s="352">
        <f t="shared" si="211"/>
        <v>50.119</v>
      </c>
      <c r="C457" s="325">
        <f t="shared" si="186"/>
        <v>106.75648456765956</v>
      </c>
      <c r="D457" s="326">
        <f t="shared" si="187"/>
        <v>1.5614290773165471</v>
      </c>
      <c r="E457" s="326">
        <f t="shared" si="188"/>
        <v>1.0079020901661135</v>
      </c>
      <c r="F457" s="327">
        <f t="shared" si="189"/>
        <v>0.12530285547829176</v>
      </c>
      <c r="G457" s="326">
        <f t="shared" si="190"/>
        <v>1</v>
      </c>
      <c r="H457" s="327">
        <f t="shared" si="191"/>
        <v>0</v>
      </c>
      <c r="I457" s="325">
        <f t="shared" si="192"/>
        <v>16538.015037700738</v>
      </c>
      <c r="J457" s="328">
        <f t="shared" si="193"/>
        <v>1.5707358600461163</v>
      </c>
      <c r="K457" s="336">
        <f t="shared" si="213"/>
        <v>11.740200326562048</v>
      </c>
      <c r="L457" s="337">
        <f t="shared" si="214"/>
        <v>1.4855155704196241</v>
      </c>
      <c r="M457" s="325">
        <f t="shared" si="194"/>
        <v>1.098265431134869</v>
      </c>
      <c r="N457" s="337">
        <f t="shared" si="195"/>
        <v>0.42624013002211902</v>
      </c>
      <c r="O457" s="343">
        <f t="shared" si="196"/>
        <v>1.0415468769428811</v>
      </c>
      <c r="P457" s="691">
        <f t="shared" si="197"/>
        <v>0.28339951761344145</v>
      </c>
      <c r="Q457" s="336">
        <f t="shared" si="212"/>
        <v>4.6224233233332566</v>
      </c>
      <c r="R457" s="692">
        <f t="shared" si="198"/>
        <v>0.45479340620597647</v>
      </c>
      <c r="S457" s="329">
        <f t="shared" si="199"/>
        <v>0.98271680467722533</v>
      </c>
      <c r="T457" s="330">
        <f t="shared" si="200"/>
        <v>0.29957582253743753</v>
      </c>
      <c r="U457" s="331">
        <f t="shared" si="201"/>
        <v>-2.7505244777976641</v>
      </c>
      <c r="V457" s="332">
        <f t="shared" si="202"/>
        <v>-138.57307167784182</v>
      </c>
      <c r="W457" s="334">
        <f t="shared" si="203"/>
        <v>41.426928322158176</v>
      </c>
      <c r="Y457" s="307">
        <f t="shared" si="204"/>
        <v>50119</v>
      </c>
      <c r="Z457" s="307">
        <f t="shared" si="205"/>
        <v>2511914161</v>
      </c>
      <c r="AB457" s="333">
        <f t="shared" si="206"/>
        <v>33.916920619926557</v>
      </c>
      <c r="AC457" s="334">
        <f t="shared" si="207"/>
        <v>-29.304523467340683</v>
      </c>
      <c r="AE457" s="333">
        <f t="shared" si="208"/>
        <v>-11.682427375374331</v>
      </c>
      <c r="AF457" s="334">
        <f t="shared" si="209"/>
        <v>-99.448401748592275</v>
      </c>
      <c r="AH457">
        <f t="shared" si="210"/>
        <v>0</v>
      </c>
      <c r="AI457">
        <f t="shared" si="215"/>
        <v>0</v>
      </c>
    </row>
    <row r="458" spans="1:35" x14ac:dyDescent="0.25">
      <c r="A458" s="335">
        <v>50410.75</v>
      </c>
      <c r="B458" s="352">
        <f t="shared" si="211"/>
        <v>50.41075</v>
      </c>
      <c r="C458" s="325">
        <f t="shared" si="186"/>
        <v>107.37787524634417</v>
      </c>
      <c r="D458" s="326">
        <f t="shared" si="187"/>
        <v>1.5614832867174631</v>
      </c>
      <c r="E458" s="326">
        <f t="shared" si="188"/>
        <v>1.0079939904906696</v>
      </c>
      <c r="F458" s="327">
        <f t="shared" si="189"/>
        <v>0.12602458500459551</v>
      </c>
      <c r="G458" s="326">
        <f t="shared" si="190"/>
        <v>1</v>
      </c>
      <c r="H458" s="327">
        <f t="shared" si="191"/>
        <v>0</v>
      </c>
      <c r="I458" s="325">
        <f t="shared" si="192"/>
        <v>16634.285232031412</v>
      </c>
      <c r="J458" s="328">
        <f t="shared" si="193"/>
        <v>1.5707362099947664</v>
      </c>
      <c r="K458" s="336">
        <f t="shared" si="213"/>
        <v>11.808047337161609</v>
      </c>
      <c r="L458" s="337">
        <f t="shared" si="214"/>
        <v>1.4860067600745575</v>
      </c>
      <c r="M458" s="325">
        <f t="shared" si="194"/>
        <v>1.0993609201034691</v>
      </c>
      <c r="N458" s="337">
        <f t="shared" si="195"/>
        <v>0.42842936208770571</v>
      </c>
      <c r="O458" s="343">
        <f t="shared" si="196"/>
        <v>1.0420222017814806</v>
      </c>
      <c r="P458" s="691">
        <f t="shared" si="197"/>
        <v>0.28496159203442389</v>
      </c>
      <c r="Q458" s="336">
        <f t="shared" si="212"/>
        <v>4.6275857986096209</v>
      </c>
      <c r="R458" s="692">
        <f t="shared" si="198"/>
        <v>0.45709245256916975</v>
      </c>
      <c r="S458" s="329">
        <f t="shared" si="199"/>
        <v>0.98253561336350059</v>
      </c>
      <c r="T458" s="330">
        <f t="shared" si="200"/>
        <v>0.30143163291189601</v>
      </c>
      <c r="U458" s="331">
        <f t="shared" si="201"/>
        <v>-2.8132972730937249</v>
      </c>
      <c r="V458" s="332">
        <f t="shared" si="202"/>
        <v>-138.78069179024092</v>
      </c>
      <c r="W458" s="334">
        <f t="shared" si="203"/>
        <v>41.219308209759077</v>
      </c>
      <c r="Y458" s="307">
        <f t="shared" si="204"/>
        <v>50410.75</v>
      </c>
      <c r="Z458" s="307">
        <f t="shared" si="205"/>
        <v>2541243715.5625</v>
      </c>
      <c r="AB458" s="333">
        <f t="shared" si="206"/>
        <v>33.90789733427944</v>
      </c>
      <c r="AC458" s="334">
        <f t="shared" si="207"/>
        <v>-29.401834181597234</v>
      </c>
      <c r="AE458" s="333">
        <f t="shared" si="208"/>
        <v>-11.730444635091361</v>
      </c>
      <c r="AF458" s="334">
        <f t="shared" si="209"/>
        <v>-99.51648576477838</v>
      </c>
      <c r="AH458">
        <f t="shared" si="210"/>
        <v>0</v>
      </c>
      <c r="AI458">
        <f t="shared" si="215"/>
        <v>0</v>
      </c>
    </row>
    <row r="459" spans="1:35" x14ac:dyDescent="0.25">
      <c r="A459" s="335">
        <v>50702.5</v>
      </c>
      <c r="B459" s="352">
        <f t="shared" si="211"/>
        <v>50.702500000000001</v>
      </c>
      <c r="C459" s="325">
        <f t="shared" si="186"/>
        <v>107.99926623694468</v>
      </c>
      <c r="D459" s="326">
        <f t="shared" si="187"/>
        <v>1.5615368723136798</v>
      </c>
      <c r="E459" s="326">
        <f t="shared" si="188"/>
        <v>1.0080864157768612</v>
      </c>
      <c r="F459" s="327">
        <f t="shared" si="189"/>
        <v>0.12674618256477341</v>
      </c>
      <c r="G459" s="326">
        <f t="shared" si="190"/>
        <v>1</v>
      </c>
      <c r="H459" s="327">
        <f t="shared" si="191"/>
        <v>0</v>
      </c>
      <c r="I459" s="325">
        <f t="shared" si="192"/>
        <v>16730.555426364099</v>
      </c>
      <c r="J459" s="328">
        <f t="shared" si="193"/>
        <v>1.5707365559160997</v>
      </c>
      <c r="K459" s="336">
        <f t="shared" si="213"/>
        <v>11.875897164104718</v>
      </c>
      <c r="L459" s="337">
        <f t="shared" si="214"/>
        <v>1.48649233727873</v>
      </c>
      <c r="M459" s="325">
        <f t="shared" si="194"/>
        <v>1.1004616675148764</v>
      </c>
      <c r="N459" s="337">
        <f t="shared" si="195"/>
        <v>0.43061422500631807</v>
      </c>
      <c r="O459" s="343">
        <f t="shared" si="196"/>
        <v>1.0425000669117521</v>
      </c>
      <c r="P459" s="691">
        <f t="shared" si="197"/>
        <v>0.28652223820141831</v>
      </c>
      <c r="Q459" s="336">
        <f t="shared" si="212"/>
        <v>4.6327724357468449</v>
      </c>
      <c r="R459" s="692">
        <f t="shared" si="198"/>
        <v>0.45938638894916611</v>
      </c>
      <c r="S459" s="329">
        <f t="shared" si="199"/>
        <v>0.98235385845411383</v>
      </c>
      <c r="T459" s="330">
        <f t="shared" si="200"/>
        <v>0.30328937940447565</v>
      </c>
      <c r="U459" s="331">
        <f t="shared" si="201"/>
        <v>-2.8758112614935887</v>
      </c>
      <c r="V459" s="332">
        <f t="shared" si="202"/>
        <v>-138.98825471152895</v>
      </c>
      <c r="W459" s="334">
        <f t="shared" si="203"/>
        <v>41.011745288471047</v>
      </c>
      <c r="Y459" s="307">
        <f t="shared" si="204"/>
        <v>50702.5</v>
      </c>
      <c r="Z459" s="307">
        <f t="shared" si="205"/>
        <v>2570743506.25</v>
      </c>
      <c r="AB459" s="333">
        <f t="shared" si="206"/>
        <v>33.898847398850315</v>
      </c>
      <c r="AC459" s="334">
        <f t="shared" si="207"/>
        <v>-29.499215901165226</v>
      </c>
      <c r="AE459" s="333">
        <f t="shared" si="208"/>
        <v>-11.778161305185634</v>
      </c>
      <c r="AF459" s="334">
        <f t="shared" si="209"/>
        <v>-99.584652532087105</v>
      </c>
      <c r="AH459">
        <f t="shared" si="210"/>
        <v>0</v>
      </c>
      <c r="AI459">
        <f t="shared" si="215"/>
        <v>0</v>
      </c>
    </row>
    <row r="460" spans="1:35" x14ac:dyDescent="0.25">
      <c r="A460" s="335">
        <v>50994.25</v>
      </c>
      <c r="B460" s="352">
        <f t="shared" si="211"/>
        <v>50.994250000000001</v>
      </c>
      <c r="C460" s="325">
        <f t="shared" si="186"/>
        <v>108.62065753410789</v>
      </c>
      <c r="D460" s="326">
        <f t="shared" si="187"/>
        <v>1.5615898448107728</v>
      </c>
      <c r="E460" s="326">
        <f t="shared" si="188"/>
        <v>1.0081793658803102</v>
      </c>
      <c r="F460" s="327">
        <f t="shared" si="189"/>
        <v>0.12746764744374731</v>
      </c>
      <c r="G460" s="326">
        <f t="shared" si="190"/>
        <v>1</v>
      </c>
      <c r="H460" s="327">
        <f t="shared" si="191"/>
        <v>0</v>
      </c>
      <c r="I460" s="325">
        <f t="shared" si="192"/>
        <v>16826.825620698768</v>
      </c>
      <c r="J460" s="328">
        <f t="shared" si="193"/>
        <v>1.5707368978792395</v>
      </c>
      <c r="K460" s="336">
        <f t="shared" si="213"/>
        <v>11.943749759394279</v>
      </c>
      <c r="L460" s="337">
        <f t="shared" si="214"/>
        <v>1.4869723974543976</v>
      </c>
      <c r="M460" s="325">
        <f t="shared" si="194"/>
        <v>1.1015676576055096</v>
      </c>
      <c r="N460" s="337">
        <f t="shared" si="195"/>
        <v>0.43279471104752765</v>
      </c>
      <c r="O460" s="343">
        <f t="shared" si="196"/>
        <v>1.0429804688420188</v>
      </c>
      <c r="P460" s="691">
        <f t="shared" si="197"/>
        <v>0.28808145048055755</v>
      </c>
      <c r="Q460" s="336">
        <f t="shared" si="212"/>
        <v>4.6379831536928542</v>
      </c>
      <c r="R460" s="692">
        <f t="shared" si="198"/>
        <v>0.4616752087489403</v>
      </c>
      <c r="S460" s="329">
        <f t="shared" si="199"/>
        <v>0.98217154869747048</v>
      </c>
      <c r="T460" s="330">
        <f t="shared" si="200"/>
        <v>0.30514907267658808</v>
      </c>
      <c r="U460" s="331">
        <f t="shared" si="201"/>
        <v>-2.9380695434429471</v>
      </c>
      <c r="V460" s="332">
        <f t="shared" si="202"/>
        <v>-139.19575574547699</v>
      </c>
      <c r="W460" s="334">
        <f t="shared" si="203"/>
        <v>40.804244254523013</v>
      </c>
      <c r="Y460" s="307">
        <f t="shared" si="204"/>
        <v>50994.25</v>
      </c>
      <c r="Z460" s="307">
        <f t="shared" si="205"/>
        <v>2600413533.0625</v>
      </c>
      <c r="AB460" s="333">
        <f t="shared" si="206"/>
        <v>33.889770903861582</v>
      </c>
      <c r="AC460" s="334">
        <f t="shared" si="207"/>
        <v>-29.596662719791681</v>
      </c>
      <c r="AE460" s="333">
        <f t="shared" si="208"/>
        <v>-11.825580799495993</v>
      </c>
      <c r="AF460" s="334">
        <f t="shared" si="209"/>
        <v>-99.652903315727585</v>
      </c>
      <c r="AH460">
        <f t="shared" si="210"/>
        <v>0</v>
      </c>
      <c r="AI460">
        <f t="shared" si="215"/>
        <v>0</v>
      </c>
    </row>
    <row r="461" spans="1:35" x14ac:dyDescent="0.25">
      <c r="A461" s="335">
        <v>51286</v>
      </c>
      <c r="B461" s="352">
        <f t="shared" si="211"/>
        <v>51.286000000000001</v>
      </c>
      <c r="C461" s="325">
        <f t="shared" ref="C461:C524" si="216">SQRT(1+(A461/pole1)^2)</f>
        <v>109.24204913260245</v>
      </c>
      <c r="D461" s="326">
        <f t="shared" ref="D461:D524" si="217">ATAN(A461/pole1)</f>
        <v>1.5616422146707503</v>
      </c>
      <c r="E461" s="326">
        <f t="shared" ref="E461:E524" si="218">SQRT(1+(A461/Zero1)^2)</f>
        <v>1.0082728406558716</v>
      </c>
      <c r="F461" s="327">
        <f t="shared" ref="F461:F524" si="219">ATAN(A461/Zero1)</f>
        <v>0.12818897892725456</v>
      </c>
      <c r="G461" s="326">
        <f t="shared" ref="G461:G524" si="220">IF(VIN_nom&gt;Vout, 1, SQRT(1+(A461/z_RHP)^2))</f>
        <v>1</v>
      </c>
      <c r="H461" s="327">
        <f t="shared" ref="H461:H524" si="221">IF(VIN_nom&gt;Vout, 0, -ATAN(A461/z_RHP))</f>
        <v>0</v>
      </c>
      <c r="I461" s="325">
        <f t="shared" ref="I461:I524" si="222">SQRT(1+(A461/Pole2)^2)</f>
        <v>16923.09581503538</v>
      </c>
      <c r="J461" s="328">
        <f t="shared" ref="J461:J524" si="223">ATAN(A461/Pole2)</f>
        <v>1.5707372359517369</v>
      </c>
      <c r="K461" s="336">
        <f t="shared" si="213"/>
        <v>12.011605076115794</v>
      </c>
      <c r="L461" s="337">
        <f t="shared" si="214"/>
        <v>1.4874470338779031</v>
      </c>
      <c r="M461" s="325">
        <f t="shared" ref="M461:M524" si="224">SQRT(1+(A461/pole4)^2)</f>
        <v>1.1026788746001011</v>
      </c>
      <c r="N461" s="337">
        <f t="shared" ref="N461:N524" si="225">ATAN(A461/pole4)</f>
        <v>0.43497081267832532</v>
      </c>
      <c r="O461" s="343">
        <f t="shared" ref="O461:O524" si="226">IF(VOUT_setting=1,1,SQRT(1+(A461*zterm1)^2))</f>
        <v>1.0434634040685153</v>
      </c>
      <c r="P461" s="691">
        <f t="shared" ref="P461:P524" si="227">IF(VOUT_setting=1,0,ATAN(((A461*zterm1))))</f>
        <v>0.28963922327620983</v>
      </c>
      <c r="Q461" s="336">
        <f t="shared" si="212"/>
        <v>4.6432178713839516</v>
      </c>
      <c r="R461" s="692">
        <f t="shared" ref="R461:R524" si="228">IF(VOUT_setting=1,0,ATAN(A461*$Q$4/(1+Afbr-$Q$5*(A461)^2)))</f>
        <v>0.46395890561328912</v>
      </c>
      <c r="S461" s="329">
        <f t="shared" ref="S461:S524" si="229">SQRT((1-(Z461/pterm2))^2+(A461/pterm1)^2)</f>
        <v>0.9819886928998226</v>
      </c>
      <c r="T461" s="330">
        <f t="shared" ref="T461:T524" si="230">IF((ATAN((A461/pterm1)/(1-A461^2/pterm2))&gt;0),ATAN((A461/pterm1)/(1-A461^2/pterm2)),PI()+ATAN((A461/pterm1)/(1-A461^2/pterm2)))</f>
        <v>0.3070107233733031</v>
      </c>
      <c r="U461" s="331">
        <f t="shared" ref="U461:U524" si="231">20*LOG10(((E461*K461*G461*O461)/(C461*I461*S461*M461*Q461))*Adc)</f>
        <v>-3.0000751598555131</v>
      </c>
      <c r="V461" s="332">
        <f t="shared" ref="V461:V524" si="232">((F461+L461+H461+P461)-(D461+J461+T461+N461+R461))*radconv</f>
        <v>-139.40319032675569</v>
      </c>
      <c r="W461" s="334">
        <f t="shared" ref="W461:W524" si="233">IF(V461&gt;0,V461,V461+180)</f>
        <v>40.596809673244309</v>
      </c>
      <c r="Y461" s="307">
        <f t="shared" ref="Y461:Y524" si="234">IF(U461&lt;0,A461,1000000000)</f>
        <v>51286</v>
      </c>
      <c r="Z461" s="307">
        <f t="shared" ref="Z461:Z524" si="235">A461^2</f>
        <v>2630253796</v>
      </c>
      <c r="AB461" s="333">
        <f t="shared" ref="AB461:AB524" si="236">20*LOG10((K461/(I461*M461))*AEA)</f>
        <v>33.880667943254167</v>
      </c>
      <c r="AC461" s="334">
        <f t="shared" ref="AC461:AC524" si="237">(L461-(J461+N461))*radconv</f>
        <v>-29.694168865396534</v>
      </c>
      <c r="AE461" s="333">
        <f t="shared" ref="AE461:AE524" si="238">20*LOG10((E461*G461/(C461*S461))*Acs*Am)</f>
        <v>-11.872706475341722</v>
      </c>
      <c r="AF461" s="334">
        <f t="shared" ref="AF461:AF524" si="239">(F461+H461-(D461+T461))*radconv</f>
        <v>-99.721239365970547</v>
      </c>
      <c r="AH461">
        <f t="shared" ref="AH461:AH524" si="240">SUM((U462&lt;0)*(U461&gt;0))*A461</f>
        <v>0</v>
      </c>
      <c r="AI461">
        <f t="shared" si="215"/>
        <v>0</v>
      </c>
    </row>
    <row r="462" spans="1:35" x14ac:dyDescent="0.25">
      <c r="A462" s="335">
        <v>51584.75</v>
      </c>
      <c r="B462" s="352">
        <f t="shared" ref="B462:B525" si="241">A462/1000</f>
        <v>51.58475</v>
      </c>
      <c r="C462" s="325">
        <f t="shared" si="216"/>
        <v>109.8783501766297</v>
      </c>
      <c r="D462" s="326">
        <f t="shared" si="217"/>
        <v>1.5616952272286209</v>
      </c>
      <c r="E462" s="326">
        <f t="shared" si="218"/>
        <v>1.0083691017387753</v>
      </c>
      <c r="F462" s="327">
        <f t="shared" si="219"/>
        <v>0.12892747844154498</v>
      </c>
      <c r="G462" s="326">
        <f t="shared" si="220"/>
        <v>1</v>
      </c>
      <c r="H462" s="327">
        <f t="shared" si="221"/>
        <v>0</v>
      </c>
      <c r="I462" s="325">
        <f t="shared" si="222"/>
        <v>17021.675834088132</v>
      </c>
      <c r="J462" s="328">
        <f t="shared" si="223"/>
        <v>1.5707375781728266</v>
      </c>
      <c r="K462" s="336">
        <f t="shared" si="213"/>
        <v>12.081091227537135</v>
      </c>
      <c r="L462" s="337">
        <f t="shared" si="214"/>
        <v>1.4879275330506656</v>
      </c>
      <c r="M462" s="325">
        <f t="shared" si="224"/>
        <v>1.1038221532184826</v>
      </c>
      <c r="N462" s="337">
        <f t="shared" si="225"/>
        <v>0.4371945747022058</v>
      </c>
      <c r="O462" s="343">
        <f t="shared" si="226"/>
        <v>1.0439605479553593</v>
      </c>
      <c r="P462" s="691">
        <f t="shared" si="227"/>
        <v>0.2912328744309276</v>
      </c>
      <c r="Q462" s="336">
        <f t="shared" si="212"/>
        <v>4.6486029721277262</v>
      </c>
      <c r="R462" s="692">
        <f t="shared" si="228"/>
        <v>0.46629208037815473</v>
      </c>
      <c r="S462" s="329">
        <f t="shared" si="229"/>
        <v>0.98180089322610742</v>
      </c>
      <c r="T462" s="330">
        <f t="shared" si="230"/>
        <v>0.3089190804619395</v>
      </c>
      <c r="U462" s="331">
        <f t="shared" si="231"/>
        <v>-3.0633097697928053</v>
      </c>
      <c r="V462" s="332">
        <f t="shared" si="232"/>
        <v>-139.61552841795375</v>
      </c>
      <c r="W462" s="334">
        <f t="shared" si="233"/>
        <v>40.384471582046245</v>
      </c>
      <c r="Y462" s="307">
        <f t="shared" si="234"/>
        <v>51584.75</v>
      </c>
      <c r="Z462" s="307">
        <f t="shared" si="235"/>
        <v>2660986432.5625</v>
      </c>
      <c r="AB462" s="333">
        <f t="shared" si="236"/>
        <v>33.871319250147359</v>
      </c>
      <c r="AC462" s="334">
        <f t="shared" si="237"/>
        <v>-29.794070077285806</v>
      </c>
      <c r="AE462" s="333">
        <f t="shared" si="238"/>
        <v>-11.920661815789169</v>
      </c>
      <c r="AF462" s="334">
        <f t="shared" si="239"/>
        <v>-99.791304663519227</v>
      </c>
      <c r="AH462">
        <f t="shared" si="240"/>
        <v>0</v>
      </c>
      <c r="AI462">
        <f t="shared" si="215"/>
        <v>0</v>
      </c>
    </row>
    <row r="463" spans="1:35" x14ac:dyDescent="0.25">
      <c r="A463" s="335">
        <v>51883.5</v>
      </c>
      <c r="B463" s="352">
        <f t="shared" si="241"/>
        <v>51.883499999999998</v>
      </c>
      <c r="C463" s="325">
        <f t="shared" si="216"/>
        <v>110.51465152589569</v>
      </c>
      <c r="D463" s="326">
        <f t="shared" si="217"/>
        <v>1.5617476293343282</v>
      </c>
      <c r="E463" s="326">
        <f t="shared" si="218"/>
        <v>1.0084659126624023</v>
      </c>
      <c r="F463" s="327">
        <f t="shared" si="219"/>
        <v>0.12966583656919342</v>
      </c>
      <c r="G463" s="326">
        <f t="shared" si="220"/>
        <v>1</v>
      </c>
      <c r="H463" s="327">
        <f t="shared" si="221"/>
        <v>0</v>
      </c>
      <c r="I463" s="325">
        <f t="shared" si="222"/>
        <v>17120.255853142855</v>
      </c>
      <c r="J463" s="328">
        <f t="shared" si="223"/>
        <v>1.5707379164528348</v>
      </c>
      <c r="K463" s="336">
        <f t="shared" si="213"/>
        <v>12.150580136331511</v>
      </c>
      <c r="L463" s="337">
        <f t="shared" si="214"/>
        <v>1.4884025364030007</v>
      </c>
      <c r="M463" s="325">
        <f t="shared" si="224"/>
        <v>1.1049708790558872</v>
      </c>
      <c r="N463" s="337">
        <f t="shared" si="225"/>
        <v>0.43941372404267587</v>
      </c>
      <c r="O463" s="343">
        <f t="shared" si="226"/>
        <v>1.0444603406859312</v>
      </c>
      <c r="P463" s="691">
        <f t="shared" si="227"/>
        <v>0.29282500444551907</v>
      </c>
      <c r="Q463" s="336">
        <f t="shared" ref="Q463:Q526" si="242">IF(VOUT_setting=1,1,SQRT((1+Afbr-$Q$5*(A463)^2)^2+(A463*$Q$4)^2))</f>
        <v>4.654013066032193</v>
      </c>
      <c r="R463" s="692">
        <f t="shared" si="228"/>
        <v>0.46861987071003269</v>
      </c>
      <c r="S463" s="329">
        <f t="shared" si="229"/>
        <v>0.981612539870231</v>
      </c>
      <c r="T463" s="330">
        <f t="shared" si="230"/>
        <v>0.31082951256958807</v>
      </c>
      <c r="U463" s="331">
        <f t="shared" si="231"/>
        <v>-3.1262857129015496</v>
      </c>
      <c r="V463" s="332">
        <f t="shared" si="232"/>
        <v>-139.82778754734937</v>
      </c>
      <c r="W463" s="334">
        <f t="shared" si="233"/>
        <v>40.172212452650626</v>
      </c>
      <c r="Y463" s="307">
        <f t="shared" si="234"/>
        <v>51883.5</v>
      </c>
      <c r="Z463" s="307">
        <f t="shared" si="235"/>
        <v>2691897572.25</v>
      </c>
      <c r="AB463" s="333">
        <f t="shared" si="236"/>
        <v>33.861943016886087</v>
      </c>
      <c r="AC463" s="334">
        <f t="shared" si="237"/>
        <v>-29.894021663391573</v>
      </c>
      <c r="AE463" s="333">
        <f t="shared" si="238"/>
        <v>-11.968316018503028</v>
      </c>
      <c r="AF463" s="334">
        <f t="shared" si="239"/>
        <v>-99.861461975425144</v>
      </c>
      <c r="AH463">
        <f t="shared" si="240"/>
        <v>0</v>
      </c>
      <c r="AI463">
        <f t="shared" si="215"/>
        <v>0</v>
      </c>
    </row>
    <row r="464" spans="1:35" x14ac:dyDescent="0.25">
      <c r="A464" s="335">
        <v>52182.25</v>
      </c>
      <c r="B464" s="352">
        <f t="shared" si="241"/>
        <v>52.182250000000003</v>
      </c>
      <c r="C464" s="325">
        <f t="shared" si="216"/>
        <v>111.15095317515821</v>
      </c>
      <c r="D464" s="326">
        <f t="shared" si="217"/>
        <v>1.5617994314714791</v>
      </c>
      <c r="E464" s="326">
        <f t="shared" si="218"/>
        <v>1.0085632732684167</v>
      </c>
      <c r="F464" s="327">
        <f t="shared" si="219"/>
        <v>0.13040405254596552</v>
      </c>
      <c r="G464" s="326">
        <f t="shared" si="220"/>
        <v>1</v>
      </c>
      <c r="H464" s="327">
        <f t="shared" si="221"/>
        <v>0</v>
      </c>
      <c r="I464" s="325">
        <f t="shared" si="222"/>
        <v>17218.835872199521</v>
      </c>
      <c r="J464" s="328">
        <f t="shared" si="223"/>
        <v>1.570738250859451</v>
      </c>
      <c r="K464" s="336">
        <f t="shared" si="213"/>
        <v>12.220071755459875</v>
      </c>
      <c r="L464" s="337">
        <f t="shared" si="214"/>
        <v>1.4888721374776015</v>
      </c>
      <c r="M464" s="325">
        <f t="shared" si="224"/>
        <v>1.1061250351412828</v>
      </c>
      <c r="N464" s="337">
        <f t="shared" si="225"/>
        <v>0.44162825324789845</v>
      </c>
      <c r="O464" s="343">
        <f t="shared" si="226"/>
        <v>1.0449627784595032</v>
      </c>
      <c r="P464" s="691">
        <f t="shared" si="227"/>
        <v>0.29441560743671169</v>
      </c>
      <c r="Q464" s="336">
        <f t="shared" si="242"/>
        <v>4.6594480660475535</v>
      </c>
      <c r="R464" s="692">
        <f t="shared" si="228"/>
        <v>0.47094227056242233</v>
      </c>
      <c r="S464" s="329">
        <f t="shared" si="229"/>
        <v>0.9814236424768904</v>
      </c>
      <c r="T464" s="330">
        <f t="shared" si="230"/>
        <v>0.31274203107081056</v>
      </c>
      <c r="U464" s="331">
        <f t="shared" si="231"/>
        <v>-3.1890060696255871</v>
      </c>
      <c r="V464" s="332">
        <f t="shared" si="232"/>
        <v>-140.03996321907644</v>
      </c>
      <c r="W464" s="334">
        <f t="shared" si="233"/>
        <v>39.960036780923559</v>
      </c>
      <c r="Y464" s="307">
        <f t="shared" si="234"/>
        <v>52182.25</v>
      </c>
      <c r="Z464" s="307">
        <f t="shared" si="235"/>
        <v>2722987215.0625</v>
      </c>
      <c r="AB464" s="333">
        <f t="shared" si="236"/>
        <v>33.852539355510999</v>
      </c>
      <c r="AC464" s="334">
        <f t="shared" si="237"/>
        <v>-29.994017841031869</v>
      </c>
      <c r="AE464" s="333">
        <f t="shared" si="238"/>
        <v>-12.015672512438689</v>
      </c>
      <c r="AF464" s="334">
        <f t="shared" si="239"/>
        <v>-99.931712597856475</v>
      </c>
      <c r="AH464">
        <f t="shared" si="240"/>
        <v>0</v>
      </c>
      <c r="AI464">
        <f t="shared" si="215"/>
        <v>0</v>
      </c>
    </row>
    <row r="465" spans="1:35" x14ac:dyDescent="0.25">
      <c r="A465" s="335">
        <v>52481</v>
      </c>
      <c r="B465" s="352">
        <f t="shared" si="241"/>
        <v>52.481000000000002</v>
      </c>
      <c r="C465" s="325">
        <f t="shared" si="216"/>
        <v>111.7872551192945</v>
      </c>
      <c r="D465" s="326">
        <f t="shared" si="217"/>
        <v>1.5618506438849995</v>
      </c>
      <c r="E465" s="326">
        <f t="shared" si="218"/>
        <v>1.0086611833976447</v>
      </c>
      <c r="F465" s="327">
        <f t="shared" si="219"/>
        <v>0.13114212560854097</v>
      </c>
      <c r="G465" s="326">
        <f t="shared" si="220"/>
        <v>1</v>
      </c>
      <c r="H465" s="327">
        <f t="shared" si="221"/>
        <v>0</v>
      </c>
      <c r="I465" s="325">
        <f t="shared" si="222"/>
        <v>17317.415891258082</v>
      </c>
      <c r="J465" s="328">
        <f t="shared" si="223"/>
        <v>1.5707385814588237</v>
      </c>
      <c r="K465" s="336">
        <f t="shared" si="213"/>
        <v>12.289566038945297</v>
      </c>
      <c r="L465" s="337">
        <f t="shared" si="214"/>
        <v>1.4893364277109791</v>
      </c>
      <c r="M465" s="325">
        <f t="shared" si="224"/>
        <v>1.1072846044943367</v>
      </c>
      <c r="N465" s="337">
        <f t="shared" si="225"/>
        <v>0.44383815507829322</v>
      </c>
      <c r="O465" s="343">
        <f t="shared" si="226"/>
        <v>1.04546785746256</v>
      </c>
      <c r="P465" s="691">
        <f t="shared" si="227"/>
        <v>0.29600467756342014</v>
      </c>
      <c r="Q465" s="336">
        <f t="shared" si="242"/>
        <v>4.664907885129896</v>
      </c>
      <c r="R465" s="692">
        <f t="shared" si="228"/>
        <v>0.47325927414716679</v>
      </c>
      <c r="S465" s="329">
        <f t="shared" si="229"/>
        <v>0.98123421075484163</v>
      </c>
      <c r="T465" s="330">
        <f t="shared" si="230"/>
        <v>0.3146566473208392</v>
      </c>
      <c r="U465" s="331">
        <f t="shared" si="231"/>
        <v>-3.2514738611657004</v>
      </c>
      <c r="V465" s="332">
        <f t="shared" si="232"/>
        <v>-140.25205106756684</v>
      </c>
      <c r="W465" s="334">
        <f t="shared" si="233"/>
        <v>39.747948932433161</v>
      </c>
      <c r="Y465" s="307">
        <f t="shared" si="234"/>
        <v>52481</v>
      </c>
      <c r="Z465" s="307">
        <f t="shared" si="235"/>
        <v>2754255361</v>
      </c>
      <c r="AB465" s="333">
        <f t="shared" si="236"/>
        <v>33.843108381530307</v>
      </c>
      <c r="AC465" s="334">
        <f t="shared" si="237"/>
        <v>-30.094052960273132</v>
      </c>
      <c r="AE465" s="333">
        <f t="shared" si="238"/>
        <v>-12.062734669938276</v>
      </c>
      <c r="AF465" s="334">
        <f t="shared" si="239"/>
        <v>-100.00205781214619</v>
      </c>
      <c r="AH465">
        <f t="shared" si="240"/>
        <v>0</v>
      </c>
      <c r="AI465">
        <f t="shared" si="215"/>
        <v>0</v>
      </c>
    </row>
    <row r="466" spans="1:35" x14ac:dyDescent="0.25">
      <c r="A466" s="335">
        <v>52786.5</v>
      </c>
      <c r="B466" s="352">
        <f t="shared" si="241"/>
        <v>52.786499999999997</v>
      </c>
      <c r="C466" s="325">
        <f t="shared" si="216"/>
        <v>112.43793405980307</v>
      </c>
      <c r="D466" s="326">
        <f t="shared" si="217"/>
        <v>1.5619024139700308</v>
      </c>
      <c r="E466" s="326">
        <f t="shared" si="218"/>
        <v>1.0087618738430228</v>
      </c>
      <c r="F466" s="327">
        <f t="shared" si="219"/>
        <v>0.13189672621031145</v>
      </c>
      <c r="G466" s="326">
        <f t="shared" si="220"/>
        <v>1</v>
      </c>
      <c r="H466" s="327">
        <f t="shared" si="221"/>
        <v>0</v>
      </c>
      <c r="I466" s="325">
        <f t="shared" si="222"/>
        <v>17418.22324129313</v>
      </c>
      <c r="J466" s="328">
        <f t="shared" si="223"/>
        <v>1.5707389156579112</v>
      </c>
      <c r="K466" s="336">
        <f t="shared" si="213"/>
        <v>12.360633194670049</v>
      </c>
      <c r="L466" s="337">
        <f t="shared" si="214"/>
        <v>1.4898058091221806</v>
      </c>
      <c r="M466" s="325">
        <f t="shared" si="224"/>
        <v>1.1084759537326807</v>
      </c>
      <c r="N466" s="337">
        <f t="shared" si="225"/>
        <v>0.44609319503964379</v>
      </c>
      <c r="O466" s="343">
        <f t="shared" si="226"/>
        <v>1.0459870757238852</v>
      </c>
      <c r="P466" s="691">
        <f t="shared" si="227"/>
        <v>0.29762806011845555</v>
      </c>
      <c r="Q466" s="336">
        <f t="shared" si="242"/>
        <v>4.6705166400084757</v>
      </c>
      <c r="R466" s="692">
        <f t="shared" si="228"/>
        <v>0.47562304214720869</v>
      </c>
      <c r="S466" s="329">
        <f t="shared" si="229"/>
        <v>0.98103995659450893</v>
      </c>
      <c r="T466" s="330">
        <f t="shared" si="230"/>
        <v>0.31661670387308372</v>
      </c>
      <c r="U466" s="331">
        <f t="shared" si="231"/>
        <v>-3.3150949568379176</v>
      </c>
      <c r="V466" s="332">
        <f t="shared" si="232"/>
        <v>-140.46883562152703</v>
      </c>
      <c r="W466" s="334">
        <f t="shared" si="233"/>
        <v>39.531164378472965</v>
      </c>
      <c r="Y466" s="307">
        <f t="shared" si="234"/>
        <v>52786.5</v>
      </c>
      <c r="Z466" s="307">
        <f t="shared" si="235"/>
        <v>2786414582.25</v>
      </c>
      <c r="AB466" s="333">
        <f t="shared" si="236"/>
        <v>33.83343620138227</v>
      </c>
      <c r="AC466" s="334">
        <f t="shared" si="237"/>
        <v>-30.19638280716228</v>
      </c>
      <c r="AE466" s="333">
        <f t="shared" si="238"/>
        <v>-12.110559225346215</v>
      </c>
      <c r="AF466" s="334">
        <f t="shared" si="239"/>
        <v>-100.07409155795693</v>
      </c>
      <c r="AH466">
        <f t="shared" si="240"/>
        <v>0</v>
      </c>
      <c r="AI466">
        <f t="shared" si="215"/>
        <v>0</v>
      </c>
    </row>
    <row r="467" spans="1:35" x14ac:dyDescent="0.25">
      <c r="A467" s="335">
        <v>53092</v>
      </c>
      <c r="B467" s="352">
        <f t="shared" si="241"/>
        <v>53.091999999999999</v>
      </c>
      <c r="C467" s="325">
        <f t="shared" si="216"/>
        <v>113.08861329819345</v>
      </c>
      <c r="D467" s="326">
        <f t="shared" si="217"/>
        <v>1.561953588314946</v>
      </c>
      <c r="E467" s="326">
        <f t="shared" si="218"/>
        <v>1.0088631385848237</v>
      </c>
      <c r="F467" s="327">
        <f t="shared" si="219"/>
        <v>0.13265117575538368</v>
      </c>
      <c r="G467" s="326">
        <f t="shared" si="220"/>
        <v>1</v>
      </c>
      <c r="H467" s="327">
        <f t="shared" si="221"/>
        <v>0</v>
      </c>
      <c r="I467" s="325">
        <f t="shared" si="222"/>
        <v>17519.030591330094</v>
      </c>
      <c r="J467" s="328">
        <f t="shared" si="223"/>
        <v>1.5707392460109268</v>
      </c>
      <c r="K467" s="336">
        <f t="shared" si="213"/>
        <v>12.431703042539821</v>
      </c>
      <c r="L467" s="337">
        <f t="shared" si="214"/>
        <v>1.4902698238935967</v>
      </c>
      <c r="M467" s="325">
        <f t="shared" si="224"/>
        <v>1.1096729276785977</v>
      </c>
      <c r="N467" s="337">
        <f t="shared" si="225"/>
        <v>0.44834338152283276</v>
      </c>
      <c r="O467" s="343">
        <f t="shared" si="226"/>
        <v>1.0465090478095966</v>
      </c>
      <c r="P467" s="691">
        <f t="shared" si="227"/>
        <v>0.29924982754007962</v>
      </c>
      <c r="Q467" s="336">
        <f t="shared" si="242"/>
        <v>4.6761511640936488</v>
      </c>
      <c r="R467" s="692">
        <f t="shared" si="228"/>
        <v>0.47798115585313472</v>
      </c>
      <c r="S467" s="329">
        <f t="shared" si="229"/>
        <v>0.98084516442705938</v>
      </c>
      <c r="T467" s="330">
        <f t="shared" si="230"/>
        <v>0.31857897799189261</v>
      </c>
      <c r="U467" s="331">
        <f t="shared" si="231"/>
        <v>-3.3784581519413526</v>
      </c>
      <c r="V467" s="332">
        <f t="shared" si="232"/>
        <v>-140.68551950897935</v>
      </c>
      <c r="W467" s="334">
        <f t="shared" si="233"/>
        <v>39.314480491020646</v>
      </c>
      <c r="Y467" s="307">
        <f t="shared" si="234"/>
        <v>53092</v>
      </c>
      <c r="Z467" s="307">
        <f t="shared" si="235"/>
        <v>2818760464</v>
      </c>
      <c r="AB467" s="333">
        <f t="shared" si="236"/>
        <v>33.823735715267048</v>
      </c>
      <c r="AC467" s="334">
        <f t="shared" si="237"/>
        <v>-30.298741835683028</v>
      </c>
      <c r="AE467" s="333">
        <f t="shared" si="238"/>
        <v>-12.158082950454626</v>
      </c>
      <c r="AF467" s="334">
        <f t="shared" si="239"/>
        <v>-100.14622688248964</v>
      </c>
      <c r="AH467">
        <f t="shared" si="240"/>
        <v>0</v>
      </c>
      <c r="AI467">
        <f t="shared" si="215"/>
        <v>0</v>
      </c>
    </row>
    <row r="468" spans="1:35" x14ac:dyDescent="0.25">
      <c r="A468" s="335">
        <v>53397.5</v>
      </c>
      <c r="B468" s="352">
        <f t="shared" si="241"/>
        <v>53.397500000000001</v>
      </c>
      <c r="C468" s="325">
        <f t="shared" si="216"/>
        <v>113.73929282935335</v>
      </c>
      <c r="D468" s="326">
        <f t="shared" si="217"/>
        <v>1.5620041771438011</v>
      </c>
      <c r="E468" s="326">
        <f t="shared" si="218"/>
        <v>1.0089649774501293</v>
      </c>
      <c r="F468" s="327">
        <f t="shared" si="219"/>
        <v>0.13340547343051351</v>
      </c>
      <c r="G468" s="326">
        <f t="shared" si="220"/>
        <v>1</v>
      </c>
      <c r="H468" s="327">
        <f t="shared" si="221"/>
        <v>0</v>
      </c>
      <c r="I468" s="325">
        <f t="shared" si="222"/>
        <v>17619.837941368954</v>
      </c>
      <c r="J468" s="328">
        <f t="shared" si="223"/>
        <v>1.5707395725838837</v>
      </c>
      <c r="K468" s="336">
        <f t="shared" si="213"/>
        <v>12.502775536645524</v>
      </c>
      <c r="L468" s="337">
        <f t="shared" si="214"/>
        <v>1.4907285633442828</v>
      </c>
      <c r="M468" s="325">
        <f t="shared" si="224"/>
        <v>1.1108755081501358</v>
      </c>
      <c r="N468" s="337">
        <f t="shared" si="225"/>
        <v>0.45058870746678065</v>
      </c>
      <c r="O468" s="343">
        <f t="shared" si="226"/>
        <v>1.0470337696011471</v>
      </c>
      <c r="P468" s="691">
        <f t="shared" si="227"/>
        <v>0.3008699737193275</v>
      </c>
      <c r="Q468" s="336">
        <f t="shared" si="242"/>
        <v>4.6818113643561148</v>
      </c>
      <c r="R468" s="692">
        <f t="shared" si="228"/>
        <v>0.48033360990090535</v>
      </c>
      <c r="S468" s="329">
        <f t="shared" si="229"/>
        <v>0.98064984484288409</v>
      </c>
      <c r="T468" s="330">
        <f t="shared" si="230"/>
        <v>0.32054348175464931</v>
      </c>
      <c r="U468" s="331">
        <f t="shared" si="231"/>
        <v>-3.4415664942969588</v>
      </c>
      <c r="V468" s="332">
        <f t="shared" si="232"/>
        <v>-140.90209846399446</v>
      </c>
      <c r="W468" s="334">
        <f t="shared" si="233"/>
        <v>39.097901536005537</v>
      </c>
      <c r="Y468" s="307">
        <f t="shared" si="234"/>
        <v>53397.5</v>
      </c>
      <c r="Z468" s="307">
        <f t="shared" si="235"/>
        <v>2851293006.25</v>
      </c>
      <c r="AB468" s="333">
        <f t="shared" si="236"/>
        <v>33.814007057035965</v>
      </c>
      <c r="AC468" s="334">
        <f t="shared" si="237"/>
        <v>-30.401124412851132</v>
      </c>
      <c r="AE468" s="333">
        <f t="shared" si="238"/>
        <v>-12.20530927609094</v>
      </c>
      <c r="AF468" s="334">
        <f t="shared" si="239"/>
        <v>-100.21846511011815</v>
      </c>
      <c r="AH468">
        <f t="shared" si="240"/>
        <v>0</v>
      </c>
      <c r="AI468">
        <f t="shared" si="215"/>
        <v>0</v>
      </c>
    </row>
    <row r="469" spans="1:35" x14ac:dyDescent="0.25">
      <c r="A469" s="335">
        <v>53703</v>
      </c>
      <c r="B469" s="352">
        <f t="shared" si="241"/>
        <v>53.703000000000003</v>
      </c>
      <c r="C469" s="325">
        <f t="shared" si="216"/>
        <v>114.38997264828664</v>
      </c>
      <c r="D469" s="326">
        <f t="shared" si="217"/>
        <v>1.5620541904480367</v>
      </c>
      <c r="E469" s="326">
        <f t="shared" si="218"/>
        <v>1.0090673902651115</v>
      </c>
      <c r="F469" s="327">
        <f t="shared" si="219"/>
        <v>0.13415961842347535</v>
      </c>
      <c r="G469" s="326">
        <f t="shared" si="220"/>
        <v>1</v>
      </c>
      <c r="H469" s="327">
        <f t="shared" si="221"/>
        <v>0</v>
      </c>
      <c r="I469" s="325">
        <f t="shared" si="222"/>
        <v>17720.64529140967</v>
      </c>
      <c r="J469" s="328">
        <f t="shared" si="223"/>
        <v>1.5707398954412926</v>
      </c>
      <c r="K469" s="336">
        <f t="shared" si="213"/>
        <v>12.573850632114372</v>
      </c>
      <c r="L469" s="337">
        <f t="shared" si="214"/>
        <v>1.4911821167375263</v>
      </c>
      <c r="M469" s="325">
        <f t="shared" si="224"/>
        <v>1.1120836769590103</v>
      </c>
      <c r="N469" s="337">
        <f t="shared" si="225"/>
        <v>0.45282916603691237</v>
      </c>
      <c r="O469" s="343">
        <f t="shared" si="226"/>
        <v>1.0475612369665661</v>
      </c>
      <c r="P469" s="691">
        <f t="shared" si="227"/>
        <v>0.30248849259348654</v>
      </c>
      <c r="Q469" s="336">
        <f t="shared" si="242"/>
        <v>4.6874971477930139</v>
      </c>
      <c r="R469" s="692">
        <f t="shared" si="228"/>
        <v>0.48268039920033057</v>
      </c>
      <c r="S469" s="329">
        <f t="shared" si="229"/>
        <v>0.98045400850292797</v>
      </c>
      <c r="T469" s="330">
        <f t="shared" si="230"/>
        <v>0.32251022721599898</v>
      </c>
      <c r="U469" s="331">
        <f t="shared" si="231"/>
        <v>-3.5044229731215477</v>
      </c>
      <c r="V469" s="332">
        <f t="shared" si="232"/>
        <v>-141.11856834967287</v>
      </c>
      <c r="W469" s="334">
        <f t="shared" si="233"/>
        <v>38.88143165032713</v>
      </c>
      <c r="Y469" s="307">
        <f t="shared" si="234"/>
        <v>53703</v>
      </c>
      <c r="Z469" s="307">
        <f t="shared" si="235"/>
        <v>2884012209</v>
      </c>
      <c r="AB469" s="333">
        <f t="shared" si="236"/>
        <v>33.804250363733431</v>
      </c>
      <c r="AC469" s="334">
        <f t="shared" si="237"/>
        <v>-30.50352503636082</v>
      </c>
      <c r="AE469" s="333">
        <f t="shared" si="238"/>
        <v>-12.252241576691919</v>
      </c>
      <c r="AF469" s="334">
        <f t="shared" si="239"/>
        <v>-100.29080755052723</v>
      </c>
      <c r="AH469">
        <f t="shared" si="240"/>
        <v>0</v>
      </c>
      <c r="AI469">
        <f t="shared" si="215"/>
        <v>0</v>
      </c>
    </row>
    <row r="470" spans="1:35" x14ac:dyDescent="0.25">
      <c r="A470" s="335">
        <v>54015.75</v>
      </c>
      <c r="B470" s="352">
        <f t="shared" si="241"/>
        <v>54.015749999999997</v>
      </c>
      <c r="C470" s="325">
        <f t="shared" si="216"/>
        <v>115.05609442531831</v>
      </c>
      <c r="D470" s="326">
        <f t="shared" si="217"/>
        <v>1.5621048046679553</v>
      </c>
      <c r="E470" s="326">
        <f t="shared" si="218"/>
        <v>1.0091728278587391</v>
      </c>
      <c r="F470" s="327">
        <f t="shared" si="219"/>
        <v>0.13493150146717575</v>
      </c>
      <c r="G470" s="326">
        <f t="shared" si="220"/>
        <v>1</v>
      </c>
      <c r="H470" s="327">
        <f t="shared" si="221"/>
        <v>0</v>
      </c>
      <c r="I470" s="325">
        <f t="shared" si="222"/>
        <v>17823.844959906601</v>
      </c>
      <c r="J470" s="328">
        <f t="shared" si="223"/>
        <v>1.5707402221775835</v>
      </c>
      <c r="K470" s="336">
        <f t="shared" si="213"/>
        <v>12.646615101339433</v>
      </c>
      <c r="L470" s="337">
        <f t="shared" si="214"/>
        <v>1.491641152643842</v>
      </c>
      <c r="M470" s="325">
        <f t="shared" si="224"/>
        <v>1.1133262873773633</v>
      </c>
      <c r="N470" s="337">
        <f t="shared" si="225"/>
        <v>0.45511774533614369</v>
      </c>
      <c r="O470" s="343">
        <f t="shared" si="226"/>
        <v>1.0481040617241724</v>
      </c>
      <c r="P470" s="691">
        <f t="shared" si="227"/>
        <v>0.30414372951758462</v>
      </c>
      <c r="Q470" s="336">
        <f t="shared" si="242"/>
        <v>4.6933442679010771</v>
      </c>
      <c r="R470" s="692">
        <f t="shared" si="228"/>
        <v>0.48507700851253693</v>
      </c>
      <c r="S470" s="329">
        <f t="shared" si="229"/>
        <v>0.98025300056431652</v>
      </c>
      <c r="T470" s="330">
        <f t="shared" si="230"/>
        <v>0.32452598135952926</v>
      </c>
      <c r="U470" s="331">
        <f t="shared" si="231"/>
        <v>-3.5685132967826072</v>
      </c>
      <c r="V470" s="332">
        <f t="shared" si="232"/>
        <v>-141.3400582397359</v>
      </c>
      <c r="W470" s="334">
        <f t="shared" si="233"/>
        <v>38.659941760264104</v>
      </c>
      <c r="Y470" s="307">
        <f t="shared" si="234"/>
        <v>54015.75</v>
      </c>
      <c r="Z470" s="307">
        <f t="shared" si="235"/>
        <v>2917701248.0625</v>
      </c>
      <c r="AB470" s="333">
        <f t="shared" si="236"/>
        <v>33.794233233960782</v>
      </c>
      <c r="AC470" s="334">
        <f t="shared" si="237"/>
        <v>-30.608368871941217</v>
      </c>
      <c r="AE470" s="333">
        <f t="shared" si="238"/>
        <v>-12.299986546244643</v>
      </c>
      <c r="AF470" s="334">
        <f t="shared" si="239"/>
        <v>-100.36497609607521</v>
      </c>
      <c r="AH470">
        <f t="shared" si="240"/>
        <v>0</v>
      </c>
      <c r="AI470">
        <f t="shared" si="215"/>
        <v>0</v>
      </c>
    </row>
    <row r="471" spans="1:35" x14ac:dyDescent="0.25">
      <c r="A471" s="335">
        <v>54328.5</v>
      </c>
      <c r="B471" s="352">
        <f t="shared" si="241"/>
        <v>54.328499999999998</v>
      </c>
      <c r="C471" s="325">
        <f t="shared" si="216"/>
        <v>115.72221649370726</v>
      </c>
      <c r="D471" s="326">
        <f t="shared" si="217"/>
        <v>1.5621548361952406</v>
      </c>
      <c r="E471" s="326">
        <f t="shared" si="218"/>
        <v>1.0092788665951664</v>
      </c>
      <c r="F471" s="327">
        <f t="shared" si="219"/>
        <v>0.13570322277656158</v>
      </c>
      <c r="G471" s="326">
        <f t="shared" si="220"/>
        <v>1</v>
      </c>
      <c r="H471" s="327">
        <f t="shared" si="221"/>
        <v>0</v>
      </c>
      <c r="I471" s="325">
        <f t="shared" si="222"/>
        <v>17927.044628405409</v>
      </c>
      <c r="J471" s="328">
        <f t="shared" si="223"/>
        <v>1.5707405451520633</v>
      </c>
      <c r="K471" s="336">
        <f t="shared" ref="K471:K534" si="243">SQRT(1+(A471/Zero2)^2)</f>
        <v>12.719382204893012</v>
      </c>
      <c r="L471" s="337">
        <f t="shared" ref="L471:L534" si="244">ATAN(A471/Zero2)</f>
        <v>1.49209493639082</v>
      </c>
      <c r="M471" s="325">
        <f t="shared" si="224"/>
        <v>1.114574715928351</v>
      </c>
      <c r="N471" s="337">
        <f t="shared" si="225"/>
        <v>0.45740120972467663</v>
      </c>
      <c r="O471" s="343">
        <f t="shared" si="226"/>
        <v>1.0486497551094964</v>
      </c>
      <c r="P471" s="691">
        <f t="shared" si="227"/>
        <v>0.3057972482730979</v>
      </c>
      <c r="Q471" s="336">
        <f t="shared" si="242"/>
        <v>4.6992180027044537</v>
      </c>
      <c r="R471" s="692">
        <f t="shared" si="228"/>
        <v>0.48746767109292277</v>
      </c>
      <c r="S471" s="329">
        <f t="shared" si="229"/>
        <v>0.98005147389015557</v>
      </c>
      <c r="T471" s="330">
        <f t="shared" si="230"/>
        <v>0.32654411035445735</v>
      </c>
      <c r="U471" s="331">
        <f t="shared" si="231"/>
        <v>-3.6323458187717863</v>
      </c>
      <c r="V471" s="332">
        <f t="shared" si="232"/>
        <v>-141.56142544903093</v>
      </c>
      <c r="W471" s="334">
        <f t="shared" si="233"/>
        <v>38.438574550969065</v>
      </c>
      <c r="Y471" s="307">
        <f t="shared" si="234"/>
        <v>54328.5</v>
      </c>
      <c r="Z471" s="307">
        <f t="shared" si="235"/>
        <v>2951585912.25</v>
      </c>
      <c r="AB471" s="333">
        <f t="shared" si="236"/>
        <v>33.784187023017644</v>
      </c>
      <c r="AC471" s="334">
        <f t="shared" si="237"/>
        <v>-30.713220355753499</v>
      </c>
      <c r="AE471" s="333">
        <f t="shared" si="238"/>
        <v>-12.347430351232003</v>
      </c>
      <c r="AF471" s="334">
        <f t="shared" si="239"/>
        <v>-100.43925659145036</v>
      </c>
      <c r="AH471">
        <f t="shared" si="240"/>
        <v>0</v>
      </c>
      <c r="AI471">
        <f t="shared" si="215"/>
        <v>0</v>
      </c>
    </row>
    <row r="472" spans="1:35" x14ac:dyDescent="0.25">
      <c r="A472" s="335">
        <v>54641.25</v>
      </c>
      <c r="B472" s="352">
        <f t="shared" si="241"/>
        <v>54.641249999999999</v>
      </c>
      <c r="C472" s="325">
        <f t="shared" si="216"/>
        <v>116.38833884845101</v>
      </c>
      <c r="D472" s="326">
        <f t="shared" si="217"/>
        <v>1.5622042950343691</v>
      </c>
      <c r="E472" s="326">
        <f t="shared" si="218"/>
        <v>1.009385506284938</v>
      </c>
      <c r="F472" s="327">
        <f t="shared" si="219"/>
        <v>0.13647478148354714</v>
      </c>
      <c r="G472" s="326">
        <f t="shared" si="220"/>
        <v>1</v>
      </c>
      <c r="H472" s="327">
        <f t="shared" si="221"/>
        <v>0</v>
      </c>
      <c r="I472" s="325">
        <f t="shared" si="222"/>
        <v>18030.244296906068</v>
      </c>
      <c r="J472" s="328">
        <f t="shared" si="223"/>
        <v>1.5707408644293266</v>
      </c>
      <c r="K472" s="336">
        <f t="shared" si="243"/>
        <v>12.792151897819629</v>
      </c>
      <c r="L472" s="337">
        <f t="shared" si="244"/>
        <v>1.4925435574225789</v>
      </c>
      <c r="M472" s="325">
        <f t="shared" si="224"/>
        <v>1.1158289430833812</v>
      </c>
      <c r="N472" s="337">
        <f t="shared" si="225"/>
        <v>0.45967955259784105</v>
      </c>
      <c r="O472" s="343">
        <f t="shared" si="226"/>
        <v>1.0491983126465747</v>
      </c>
      <c r="P472" s="691">
        <f t="shared" si="227"/>
        <v>0.30744904250613719</v>
      </c>
      <c r="Q472" s="336">
        <f t="shared" si="242"/>
        <v>4.7051182525388091</v>
      </c>
      <c r="R472" s="692">
        <f t="shared" si="228"/>
        <v>0.48985238235751055</v>
      </c>
      <c r="S472" s="329">
        <f t="shared" si="229"/>
        <v>0.97984944014916786</v>
      </c>
      <c r="T472" s="330">
        <f t="shared" si="230"/>
        <v>0.32856462705735867</v>
      </c>
      <c r="U472" s="331">
        <f t="shared" si="231"/>
        <v>-3.6959235647014683</v>
      </c>
      <c r="V472" s="332">
        <f t="shared" si="232"/>
        <v>-141.78266593905667</v>
      </c>
      <c r="W472" s="334">
        <f t="shared" si="233"/>
        <v>38.21733406094333</v>
      </c>
      <c r="Y472" s="307">
        <f t="shared" si="234"/>
        <v>54641.25</v>
      </c>
      <c r="Z472" s="307">
        <f t="shared" si="235"/>
        <v>2985666201.5625</v>
      </c>
      <c r="AB472" s="333">
        <f t="shared" si="236"/>
        <v>33.774111887453017</v>
      </c>
      <c r="AC472" s="334">
        <f t="shared" si="237"/>
        <v>-30.818073988308441</v>
      </c>
      <c r="AE472" s="333">
        <f t="shared" si="238"/>
        <v>-12.394576436793294</v>
      </c>
      <c r="AF472" s="334">
        <f t="shared" si="239"/>
        <v>-100.51365039623214</v>
      </c>
      <c r="AH472">
        <f t="shared" si="240"/>
        <v>0</v>
      </c>
      <c r="AI472">
        <f t="shared" si="215"/>
        <v>0</v>
      </c>
    </row>
    <row r="473" spans="1:35" x14ac:dyDescent="0.25">
      <c r="A473" s="335">
        <v>54954</v>
      </c>
      <c r="B473" s="352">
        <f t="shared" si="241"/>
        <v>54.954000000000001</v>
      </c>
      <c r="C473" s="325">
        <f t="shared" si="216"/>
        <v>117.05446148466085</v>
      </c>
      <c r="D473" s="326">
        <f t="shared" si="217"/>
        <v>1.562253190962098</v>
      </c>
      <c r="E473" s="326">
        <f t="shared" si="218"/>
        <v>1.0094927467376056</v>
      </c>
      <c r="F473" s="327">
        <f t="shared" si="219"/>
        <v>0.13724617672118694</v>
      </c>
      <c r="G473" s="326">
        <f t="shared" si="220"/>
        <v>1</v>
      </c>
      <c r="H473" s="327">
        <f t="shared" si="221"/>
        <v>0</v>
      </c>
      <c r="I473" s="325">
        <f t="shared" si="222"/>
        <v>18133.443965408544</v>
      </c>
      <c r="J473" s="328">
        <f t="shared" si="223"/>
        <v>1.5707411800724971</v>
      </c>
      <c r="K473" s="336">
        <f t="shared" si="243"/>
        <v>12.864924136179367</v>
      </c>
      <c r="L473" s="337">
        <f t="shared" si="244"/>
        <v>1.4929871031678461</v>
      </c>
      <c r="M473" s="325">
        <f t="shared" si="224"/>
        <v>1.1170889493110643</v>
      </c>
      <c r="N473" s="337">
        <f t="shared" si="225"/>
        <v>0.46195276759323833</v>
      </c>
      <c r="O473" s="343">
        <f t="shared" si="226"/>
        <v>1.0497497298453311</v>
      </c>
      <c r="P473" s="691">
        <f t="shared" si="227"/>
        <v>0.30909910591370121</v>
      </c>
      <c r="Q473" s="336">
        <f t="shared" si="242"/>
        <v>4.7110449177903391</v>
      </c>
      <c r="R473" s="692">
        <f t="shared" si="228"/>
        <v>0.49223113801318918</v>
      </c>
      <c r="S473" s="329">
        <f t="shared" si="229"/>
        <v>0.97964691108813062</v>
      </c>
      <c r="T473" s="330">
        <f t="shared" si="230"/>
        <v>0.33058754429794185</v>
      </c>
      <c r="U473" s="331">
        <f t="shared" si="231"/>
        <v>-3.7592495019865013</v>
      </c>
      <c r="V473" s="332">
        <f t="shared" si="232"/>
        <v>-142.0037757996796</v>
      </c>
      <c r="W473" s="334">
        <f t="shared" si="233"/>
        <v>37.996224200320398</v>
      </c>
      <c r="Y473" s="307">
        <f t="shared" si="234"/>
        <v>54954</v>
      </c>
      <c r="Z473" s="307">
        <f t="shared" si="235"/>
        <v>3019942116</v>
      </c>
      <c r="AB473" s="333">
        <f t="shared" si="236"/>
        <v>33.764007986742904</v>
      </c>
      <c r="AC473" s="334">
        <f t="shared" si="237"/>
        <v>-30.922924399387057</v>
      </c>
      <c r="AE473" s="333">
        <f t="shared" si="238"/>
        <v>-12.441428191655843</v>
      </c>
      <c r="AF473" s="334">
        <f t="shared" si="239"/>
        <v>-100.58815885534793</v>
      </c>
      <c r="AH473">
        <f t="shared" si="240"/>
        <v>0</v>
      </c>
      <c r="AI473">
        <f t="shared" si="215"/>
        <v>0</v>
      </c>
    </row>
    <row r="474" spans="1:35" x14ac:dyDescent="0.25">
      <c r="A474" s="335">
        <v>55274</v>
      </c>
      <c r="B474" s="352">
        <f t="shared" si="241"/>
        <v>55.274000000000001</v>
      </c>
      <c r="C474" s="325">
        <f t="shared" si="216"/>
        <v>117.73602609902321</v>
      </c>
      <c r="D474" s="326">
        <f t="shared" si="217"/>
        <v>1.5623026476976913</v>
      </c>
      <c r="E474" s="326">
        <f t="shared" si="218"/>
        <v>1.0096030947944492</v>
      </c>
      <c r="F474" s="327">
        <f t="shared" si="219"/>
        <v>0.13803528392217856</v>
      </c>
      <c r="G474" s="326">
        <f t="shared" si="220"/>
        <v>1</v>
      </c>
      <c r="H474" s="327">
        <f t="shared" si="221"/>
        <v>0</v>
      </c>
      <c r="I474" s="325">
        <f t="shared" si="222"/>
        <v>18239.035952367361</v>
      </c>
      <c r="J474" s="328">
        <f t="shared" si="223"/>
        <v>1.5707414993356432</v>
      </c>
      <c r="K474" s="336">
        <f t="shared" si="243"/>
        <v>12.939385930727664</v>
      </c>
      <c r="L474" s="337">
        <f t="shared" si="244"/>
        <v>1.4934357669564209</v>
      </c>
      <c r="M474" s="325">
        <f t="shared" si="224"/>
        <v>1.1183841255187563</v>
      </c>
      <c r="N474" s="337">
        <f t="shared" si="225"/>
        <v>0.4642733650724723</v>
      </c>
      <c r="O474" s="343">
        <f t="shared" si="226"/>
        <v>1.0503168848657334</v>
      </c>
      <c r="P474" s="691">
        <f t="shared" si="227"/>
        <v>0.31078562219564104</v>
      </c>
      <c r="Q474" s="336">
        <f t="shared" si="242"/>
        <v>4.7171362089586593</v>
      </c>
      <c r="R474" s="692">
        <f t="shared" si="228"/>
        <v>0.49465886821161537</v>
      </c>
      <c r="S474" s="329">
        <f t="shared" si="229"/>
        <v>0.97943918676669472</v>
      </c>
      <c r="T474" s="330">
        <f t="shared" si="230"/>
        <v>0.33265985371096907</v>
      </c>
      <c r="U474" s="331">
        <f t="shared" si="231"/>
        <v>-3.823785829990002</v>
      </c>
      <c r="V474" s="332">
        <f t="shared" si="232"/>
        <v>-142.22987215473248</v>
      </c>
      <c r="W474" s="334">
        <f t="shared" si="233"/>
        <v>37.770127845267524</v>
      </c>
      <c r="Y474" s="307">
        <f t="shared" si="234"/>
        <v>55274</v>
      </c>
      <c r="Z474" s="307">
        <f t="shared" si="235"/>
        <v>3055215076</v>
      </c>
      <c r="AB474" s="333">
        <f t="shared" si="236"/>
        <v>33.753640259082964</v>
      </c>
      <c r="AC474" s="334">
        <f t="shared" si="237"/>
        <v>-31.030196591943593</v>
      </c>
      <c r="AE474" s="333">
        <f t="shared" si="238"/>
        <v>-12.489064870818211</v>
      </c>
      <c r="AF474" s="334">
        <f t="shared" si="239"/>
        <v>-100.66451458866467</v>
      </c>
      <c r="AH474">
        <f t="shared" si="240"/>
        <v>0</v>
      </c>
      <c r="AI474">
        <f t="shared" ref="AI474:AI537" si="245">IF(AH474&gt;0,W474,0)</f>
        <v>0</v>
      </c>
    </row>
    <row r="475" spans="1:35" x14ac:dyDescent="0.25">
      <c r="A475" s="335">
        <v>55594</v>
      </c>
      <c r="B475" s="352">
        <f t="shared" si="241"/>
        <v>55.594000000000001</v>
      </c>
      <c r="C475" s="325">
        <f t="shared" si="216"/>
        <v>118.41759099804918</v>
      </c>
      <c r="D475" s="326">
        <f t="shared" si="217"/>
        <v>1.5623515351265167</v>
      </c>
      <c r="E475" s="326">
        <f t="shared" si="218"/>
        <v>1.0097140713835819</v>
      </c>
      <c r="F475" s="327">
        <f t="shared" si="219"/>
        <v>0.13882421815449214</v>
      </c>
      <c r="G475" s="326">
        <f t="shared" si="220"/>
        <v>1</v>
      </c>
      <c r="H475" s="327">
        <f t="shared" si="221"/>
        <v>0</v>
      </c>
      <c r="I475" s="325">
        <f t="shared" si="222"/>
        <v>18344.627939328017</v>
      </c>
      <c r="J475" s="328">
        <f t="shared" si="223"/>
        <v>1.5707418149234211</v>
      </c>
      <c r="K475" s="336">
        <f t="shared" si="243"/>
        <v>13.013850300156967</v>
      </c>
      <c r="L475" s="337">
        <f t="shared" si="244"/>
        <v>1.4938792963858467</v>
      </c>
      <c r="M475" s="325">
        <f t="shared" si="224"/>
        <v>1.119685310465887</v>
      </c>
      <c r="N475" s="337">
        <f t="shared" si="225"/>
        <v>0.46658858146840321</v>
      </c>
      <c r="O475" s="343">
        <f t="shared" si="226"/>
        <v>1.0508870241119272</v>
      </c>
      <c r="P475" s="691">
        <f t="shared" si="227"/>
        <v>0.3124703132888883</v>
      </c>
      <c r="Q475" s="336">
        <f t="shared" si="242"/>
        <v>4.7232549436305344</v>
      </c>
      <c r="R475" s="692">
        <f t="shared" si="228"/>
        <v>0.49708035530975725</v>
      </c>
      <c r="S475" s="329">
        <f t="shared" si="229"/>
        <v>0.9792309690258727</v>
      </c>
      <c r="T475" s="330">
        <f t="shared" si="230"/>
        <v>0.33473470333354222</v>
      </c>
      <c r="U475" s="331">
        <f t="shared" si="231"/>
        <v>-3.8880646442704254</v>
      </c>
      <c r="V475" s="332">
        <f t="shared" si="232"/>
        <v>-142.45582387004706</v>
      </c>
      <c r="W475" s="334">
        <f t="shared" si="233"/>
        <v>37.544176129952945</v>
      </c>
      <c r="Y475" s="307">
        <f t="shared" si="234"/>
        <v>55594</v>
      </c>
      <c r="Z475" s="307">
        <f t="shared" si="235"/>
        <v>3090692836</v>
      </c>
      <c r="AB475" s="333">
        <f t="shared" si="236"/>
        <v>33.743242763777964</v>
      </c>
      <c r="AC475" s="334">
        <f t="shared" si="237"/>
        <v>-31.13745443766426</v>
      </c>
      <c r="AE475" s="333">
        <f t="shared" si="238"/>
        <v>-12.536400417362554</v>
      </c>
      <c r="AF475" s="334">
        <f t="shared" si="239"/>
        <v>-100.74099315676779</v>
      </c>
      <c r="AH475">
        <f t="shared" si="240"/>
        <v>0</v>
      </c>
      <c r="AI475">
        <f t="shared" si="245"/>
        <v>0</v>
      </c>
    </row>
    <row r="476" spans="1:35" x14ac:dyDescent="0.25">
      <c r="A476" s="335">
        <v>55914</v>
      </c>
      <c r="B476" s="352">
        <f t="shared" si="241"/>
        <v>55.914000000000001</v>
      </c>
      <c r="C476" s="325">
        <f t="shared" si="216"/>
        <v>119.09915617685174</v>
      </c>
      <c r="D476" s="326">
        <f t="shared" si="217"/>
        <v>1.5623998630222031</v>
      </c>
      <c r="E476" s="326">
        <f t="shared" si="218"/>
        <v>1.0098256762977824</v>
      </c>
      <c r="F476" s="327">
        <f t="shared" si="219"/>
        <v>0.13961297849322388</v>
      </c>
      <c r="G476" s="326">
        <f t="shared" si="220"/>
        <v>1</v>
      </c>
      <c r="H476" s="327">
        <f t="shared" si="221"/>
        <v>0</v>
      </c>
      <c r="I476" s="325">
        <f t="shared" si="222"/>
        <v>18450.219926290476</v>
      </c>
      <c r="J476" s="328">
        <f t="shared" si="223"/>
        <v>1.5707421268989341</v>
      </c>
      <c r="K476" s="336">
        <f t="shared" si="243"/>
        <v>13.088317200518869</v>
      </c>
      <c r="L476" s="337">
        <f t="shared" si="244"/>
        <v>1.4943177789170072</v>
      </c>
      <c r="M476" s="325">
        <f t="shared" si="224"/>
        <v>1.1209924832286369</v>
      </c>
      <c r="N476" s="337">
        <f t="shared" si="225"/>
        <v>0.46889841074231586</v>
      </c>
      <c r="O476" s="343">
        <f t="shared" si="226"/>
        <v>1.051460142729451</v>
      </c>
      <c r="P476" s="691">
        <f t="shared" si="227"/>
        <v>0.31415317260736719</v>
      </c>
      <c r="Q476" s="336">
        <f t="shared" si="242"/>
        <v>4.7294010153013222</v>
      </c>
      <c r="R476" s="692">
        <f t="shared" si="228"/>
        <v>0.49949559563781376</v>
      </c>
      <c r="S476" s="329">
        <f t="shared" si="229"/>
        <v>0.97902227070310521</v>
      </c>
      <c r="T476" s="330">
        <f t="shared" si="230"/>
        <v>0.33681210681784307</v>
      </c>
      <c r="U476" s="331">
        <f t="shared" si="231"/>
        <v>-3.9520889435762157</v>
      </c>
      <c r="V476" s="332">
        <f t="shared" si="232"/>
        <v>-142.68162715438999</v>
      </c>
      <c r="W476" s="334">
        <f t="shared" si="233"/>
        <v>37.318372845610014</v>
      </c>
      <c r="Y476" s="307">
        <f t="shared" si="234"/>
        <v>55914</v>
      </c>
      <c r="Z476" s="307">
        <f t="shared" si="235"/>
        <v>3126375396</v>
      </c>
      <c r="AB476" s="333">
        <f t="shared" si="236"/>
        <v>33.732815680312271</v>
      </c>
      <c r="AC476" s="334">
        <f t="shared" si="237"/>
        <v>-31.244692583032272</v>
      </c>
      <c r="AE476" s="333">
        <f t="shared" si="238"/>
        <v>-12.583438286181238</v>
      </c>
      <c r="AF476" s="334">
        <f t="shared" si="239"/>
        <v>-100.81759595485047</v>
      </c>
      <c r="AH476">
        <f t="shared" si="240"/>
        <v>0</v>
      </c>
      <c r="AI476">
        <f t="shared" si="245"/>
        <v>0</v>
      </c>
    </row>
    <row r="477" spans="1:35" x14ac:dyDescent="0.25">
      <c r="A477" s="335">
        <v>56234</v>
      </c>
      <c r="B477" s="352">
        <f t="shared" si="241"/>
        <v>56.234000000000002</v>
      </c>
      <c r="C477" s="325">
        <f t="shared" si="216"/>
        <v>119.78072163065494</v>
      </c>
      <c r="D477" s="326">
        <f t="shared" si="217"/>
        <v>1.5624476409359378</v>
      </c>
      <c r="E477" s="326">
        <f t="shared" si="218"/>
        <v>1.0099379093287484</v>
      </c>
      <c r="F477" s="327">
        <f t="shared" si="219"/>
        <v>0.14040156401474321</v>
      </c>
      <c r="G477" s="326">
        <f t="shared" si="220"/>
        <v>1</v>
      </c>
      <c r="H477" s="327">
        <f t="shared" si="221"/>
        <v>0</v>
      </c>
      <c r="I477" s="325">
        <f t="shared" si="222"/>
        <v>18555.811913254714</v>
      </c>
      <c r="J477" s="328">
        <f t="shared" si="223"/>
        <v>1.5707424353238493</v>
      </c>
      <c r="K477" s="336">
        <f t="shared" si="243"/>
        <v>13.162786588858017</v>
      </c>
      <c r="L477" s="337">
        <f t="shared" si="244"/>
        <v>1.4947513000393866</v>
      </c>
      <c r="M477" s="325">
        <f t="shared" si="224"/>
        <v>1.1223056228846051</v>
      </c>
      <c r="N477" s="337">
        <f t="shared" si="225"/>
        <v>0.47120284711349819</v>
      </c>
      <c r="O477" s="343">
        <f t="shared" si="226"/>
        <v>1.0520362358490818</v>
      </c>
      <c r="P477" s="691">
        <f t="shared" si="227"/>
        <v>0.31583419362081661</v>
      </c>
      <c r="Q477" s="336">
        <f t="shared" si="242"/>
        <v>4.735574317544696</v>
      </c>
      <c r="R477" s="692">
        <f t="shared" si="228"/>
        <v>0.50190458583346609</v>
      </c>
      <c r="S477" s="329">
        <f t="shared" si="229"/>
        <v>0.97881310472200078</v>
      </c>
      <c r="T477" s="330">
        <f t="shared" si="230"/>
        <v>0.33889207778437697</v>
      </c>
      <c r="U477" s="331">
        <f t="shared" si="231"/>
        <v>-4.015861669024539</v>
      </c>
      <c r="V477" s="332">
        <f t="shared" si="232"/>
        <v>-142.90727834396759</v>
      </c>
      <c r="W477" s="334">
        <f t="shared" si="233"/>
        <v>37.09272165603241</v>
      </c>
      <c r="Y477" s="307">
        <f t="shared" si="234"/>
        <v>56234</v>
      </c>
      <c r="Z477" s="307">
        <f t="shared" si="235"/>
        <v>3162262756</v>
      </c>
      <c r="AB477" s="333">
        <f t="shared" si="236"/>
        <v>33.722359190817002</v>
      </c>
      <c r="AC477" s="334">
        <f t="shared" si="237"/>
        <v>-31.351905802183783</v>
      </c>
      <c r="AE477" s="333">
        <f t="shared" si="238"/>
        <v>-12.630181875864231</v>
      </c>
      <c r="AF477" s="334">
        <f t="shared" si="239"/>
        <v>-100.89432436347305</v>
      </c>
      <c r="AH477">
        <f t="shared" si="240"/>
        <v>0</v>
      </c>
      <c r="AI477">
        <f t="shared" si="245"/>
        <v>0</v>
      </c>
    </row>
    <row r="478" spans="1:35" x14ac:dyDescent="0.25">
      <c r="A478" s="335">
        <v>56561.5</v>
      </c>
      <c r="B478" s="352">
        <f t="shared" si="241"/>
        <v>56.561500000000002</v>
      </c>
      <c r="C478" s="325">
        <f t="shared" si="216"/>
        <v>120.47826155465559</v>
      </c>
      <c r="D478" s="326">
        <f t="shared" si="217"/>
        <v>1.5624959789162232</v>
      </c>
      <c r="E478" s="326">
        <f t="shared" si="218"/>
        <v>1.0100534229743898</v>
      </c>
      <c r="F478" s="327">
        <f t="shared" si="219"/>
        <v>0.14120845003579344</v>
      </c>
      <c r="G478" s="326">
        <f t="shared" si="220"/>
        <v>1</v>
      </c>
      <c r="H478" s="327">
        <f t="shared" si="221"/>
        <v>0</v>
      </c>
      <c r="I478" s="325">
        <f t="shared" si="222"/>
        <v>18663.878712415233</v>
      </c>
      <c r="J478" s="328">
        <f t="shared" si="223"/>
        <v>1.5707427473639601</v>
      </c>
      <c r="K478" s="336">
        <f t="shared" si="243"/>
        <v>13.239003885803111</v>
      </c>
      <c r="L478" s="337">
        <f t="shared" si="244"/>
        <v>1.4951899318159527</v>
      </c>
      <c r="M478" s="325">
        <f t="shared" si="224"/>
        <v>1.1236556957266297</v>
      </c>
      <c r="N478" s="337">
        <f t="shared" si="225"/>
        <v>0.47355570397043728</v>
      </c>
      <c r="O478" s="343">
        <f t="shared" si="226"/>
        <v>1.0526289059461813</v>
      </c>
      <c r="P478" s="691">
        <f t="shared" si="227"/>
        <v>0.31755270337055047</v>
      </c>
      <c r="Q478" s="336">
        <f t="shared" si="242"/>
        <v>4.7419203909660119</v>
      </c>
      <c r="R478" s="692">
        <f t="shared" si="228"/>
        <v>0.50436356196761345</v>
      </c>
      <c r="S478" s="329">
        <f t="shared" si="229"/>
        <v>0.97859856576197091</v>
      </c>
      <c r="T478" s="330">
        <f t="shared" si="230"/>
        <v>0.34102347070031008</v>
      </c>
      <c r="U478" s="331">
        <f t="shared" si="231"/>
        <v>-4.0808715905251853</v>
      </c>
      <c r="V478" s="332">
        <f t="shared" si="232"/>
        <v>-143.13805705692761</v>
      </c>
      <c r="W478" s="334">
        <f t="shared" si="233"/>
        <v>36.861942943072393</v>
      </c>
      <c r="Y478" s="307">
        <f t="shared" si="234"/>
        <v>56561.5</v>
      </c>
      <c r="Z478" s="307">
        <f t="shared" si="235"/>
        <v>3199203282.25</v>
      </c>
      <c r="AB478" s="333">
        <f t="shared" si="236"/>
        <v>33.711627372136554</v>
      </c>
      <c r="AC478" s="334">
        <f t="shared" si="237"/>
        <v>-31.461600699033983</v>
      </c>
      <c r="AE478" s="333">
        <f t="shared" si="238"/>
        <v>-12.677719801488861</v>
      </c>
      <c r="AF478" s="334">
        <f t="shared" si="239"/>
        <v>-100.97298258083623</v>
      </c>
      <c r="AH478">
        <f t="shared" si="240"/>
        <v>0</v>
      </c>
      <c r="AI478">
        <f t="shared" si="245"/>
        <v>0</v>
      </c>
    </row>
    <row r="479" spans="1:35" x14ac:dyDescent="0.25">
      <c r="A479" s="335">
        <v>56889</v>
      </c>
      <c r="B479" s="352">
        <f t="shared" si="241"/>
        <v>56.889000000000003</v>
      </c>
      <c r="C479" s="325">
        <f t="shared" si="216"/>
        <v>121.17580175692002</v>
      </c>
      <c r="D479" s="326">
        <f t="shared" si="217"/>
        <v>1.5625437603880745</v>
      </c>
      <c r="E479" s="326">
        <f t="shared" si="218"/>
        <v>1.0101695940798683</v>
      </c>
      <c r="F479" s="327">
        <f t="shared" si="219"/>
        <v>0.14201515099561374</v>
      </c>
      <c r="G479" s="326">
        <f t="shared" si="220"/>
        <v>1</v>
      </c>
      <c r="H479" s="327">
        <f t="shared" si="221"/>
        <v>0</v>
      </c>
      <c r="I479" s="325">
        <f t="shared" si="222"/>
        <v>18771.945511577545</v>
      </c>
      <c r="J479" s="328">
        <f t="shared" si="223"/>
        <v>1.5707430558113507</v>
      </c>
      <c r="K479" s="336">
        <f t="shared" si="243"/>
        <v>13.315223700743406</v>
      </c>
      <c r="L479" s="337">
        <f t="shared" si="244"/>
        <v>1.4956235419896589</v>
      </c>
      <c r="M479" s="325">
        <f t="shared" si="224"/>
        <v>1.125011974104114</v>
      </c>
      <c r="N479" s="337">
        <f t="shared" si="225"/>
        <v>0.47590290073763636</v>
      </c>
      <c r="O479" s="343">
        <f t="shared" si="226"/>
        <v>1.0532246812427046</v>
      </c>
      <c r="P479" s="691">
        <f t="shared" si="227"/>
        <v>0.31926927397373805</v>
      </c>
      <c r="Q479" s="336">
        <f t="shared" si="242"/>
        <v>4.7482947610668775</v>
      </c>
      <c r="R479" s="692">
        <f t="shared" si="228"/>
        <v>0.50681598540900297</v>
      </c>
      <c r="S479" s="329">
        <f t="shared" si="229"/>
        <v>0.97838356463258758</v>
      </c>
      <c r="T479" s="330">
        <f t="shared" si="230"/>
        <v>0.34315758162269833</v>
      </c>
      <c r="U479" s="331">
        <f t="shared" si="231"/>
        <v>-4.1456240621435221</v>
      </c>
      <c r="V479" s="332">
        <f t="shared" si="232"/>
        <v>-143.36866909265126</v>
      </c>
      <c r="W479" s="334">
        <f t="shared" si="233"/>
        <v>36.63133090734874</v>
      </c>
      <c r="Y479" s="307">
        <f t="shared" si="234"/>
        <v>56889</v>
      </c>
      <c r="Z479" s="307">
        <f t="shared" si="235"/>
        <v>3236358321</v>
      </c>
      <c r="AB479" s="333">
        <f t="shared" si="236"/>
        <v>33.700865146812738</v>
      </c>
      <c r="AC479" s="334">
        <f t="shared" si="237"/>
        <v>-31.571258807432926</v>
      </c>
      <c r="AE479" s="333">
        <f t="shared" si="238"/>
        <v>-12.724956519894073</v>
      </c>
      <c r="AF479" s="334">
        <f t="shared" si="239"/>
        <v>-101.05177524614103</v>
      </c>
      <c r="AH479">
        <f t="shared" si="240"/>
        <v>0</v>
      </c>
      <c r="AI479">
        <f t="shared" si="245"/>
        <v>0</v>
      </c>
    </row>
    <row r="480" spans="1:35" x14ac:dyDescent="0.25">
      <c r="A480" s="335">
        <v>57216.5</v>
      </c>
      <c r="B480" s="352">
        <f t="shared" si="241"/>
        <v>57.216500000000003</v>
      </c>
      <c r="C480" s="325">
        <f t="shared" si="216"/>
        <v>121.87334223267032</v>
      </c>
      <c r="D480" s="326">
        <f t="shared" si="217"/>
        <v>1.5625909949067776</v>
      </c>
      <c r="E480" s="326">
        <f t="shared" si="218"/>
        <v>1.0102864224183832</v>
      </c>
      <c r="F480" s="327">
        <f t="shared" si="219"/>
        <v>0.1428216659082778</v>
      </c>
      <c r="G480" s="326">
        <f t="shared" si="220"/>
        <v>1</v>
      </c>
      <c r="H480" s="327">
        <f t="shared" si="221"/>
        <v>0</v>
      </c>
      <c r="I480" s="325">
        <f t="shared" si="222"/>
        <v>18880.012310741626</v>
      </c>
      <c r="J480" s="328">
        <f t="shared" si="223"/>
        <v>1.5707433607277135</v>
      </c>
      <c r="K480" s="336">
        <f t="shared" si="243"/>
        <v>13.391445990684041</v>
      </c>
      <c r="L480" s="337">
        <f t="shared" si="244"/>
        <v>1.4960522161428864</v>
      </c>
      <c r="M480" s="325">
        <f t="shared" si="224"/>
        <v>1.1263744356006222</v>
      </c>
      <c r="N480" s="337">
        <f t="shared" si="225"/>
        <v>0.47824443204500422</v>
      </c>
      <c r="O480" s="343">
        <f t="shared" si="226"/>
        <v>1.0538235564721126</v>
      </c>
      <c r="P480" s="691">
        <f t="shared" si="227"/>
        <v>0.32098389861170962</v>
      </c>
      <c r="Q480" s="336">
        <f t="shared" si="242"/>
        <v>4.7546973140525042</v>
      </c>
      <c r="R480" s="692">
        <f t="shared" si="228"/>
        <v>0.50926185353476938</v>
      </c>
      <c r="S480" s="329">
        <f t="shared" si="229"/>
        <v>0.97816811546897919</v>
      </c>
      <c r="T480" s="330">
        <f t="shared" si="230"/>
        <v>0.34529442504544355</v>
      </c>
      <c r="U480" s="331">
        <f t="shared" si="231"/>
        <v>-4.2101220584808585</v>
      </c>
      <c r="V480" s="332">
        <f t="shared" si="232"/>
        <v>-143.59911091828857</v>
      </c>
      <c r="W480" s="334">
        <f t="shared" si="233"/>
        <v>36.400889081711426</v>
      </c>
      <c r="Y480" s="307">
        <f t="shared" si="234"/>
        <v>57216.5</v>
      </c>
      <c r="Z480" s="307">
        <f t="shared" si="235"/>
        <v>3273727872.25</v>
      </c>
      <c r="AB480" s="333">
        <f t="shared" si="236"/>
        <v>33.690072717867494</v>
      </c>
      <c r="AC480" s="334">
        <f t="shared" si="237"/>
        <v>-31.680874919722516</v>
      </c>
      <c r="AE480" s="333">
        <f t="shared" si="238"/>
        <v>-12.771895499471755</v>
      </c>
      <c r="AF480" s="334">
        <f t="shared" si="239"/>
        <v>-101.13070379379381</v>
      </c>
      <c r="AH480">
        <f t="shared" si="240"/>
        <v>0</v>
      </c>
      <c r="AI480">
        <f t="shared" si="245"/>
        <v>0</v>
      </c>
    </row>
    <row r="481" spans="1:35" x14ac:dyDescent="0.25">
      <c r="A481" s="335">
        <v>57544</v>
      </c>
      <c r="B481" s="352">
        <f t="shared" si="241"/>
        <v>57.543999999999997</v>
      </c>
      <c r="C481" s="325">
        <f t="shared" si="216"/>
        <v>122.57088297723739</v>
      </c>
      <c r="D481" s="326">
        <f t="shared" si="217"/>
        <v>1.5626376918101152</v>
      </c>
      <c r="E481" s="326">
        <f t="shared" si="218"/>
        <v>1.0104039077619564</v>
      </c>
      <c r="F481" s="327">
        <f t="shared" si="219"/>
        <v>0.1436279937892822</v>
      </c>
      <c r="G481" s="326">
        <f t="shared" si="220"/>
        <v>1</v>
      </c>
      <c r="H481" s="327">
        <f t="shared" si="221"/>
        <v>0</v>
      </c>
      <c r="I481" s="325">
        <f t="shared" si="222"/>
        <v>18988.079109907438</v>
      </c>
      <c r="J481" s="328">
        <f t="shared" si="223"/>
        <v>1.5707436621733373</v>
      </c>
      <c r="K481" s="336">
        <f t="shared" si="243"/>
        <v>13.467670713602114</v>
      </c>
      <c r="L481" s="337">
        <f t="shared" si="244"/>
        <v>1.4964760379278406</v>
      </c>
      <c r="M481" s="325">
        <f t="shared" si="224"/>
        <v>1.1277430578060987</v>
      </c>
      <c r="N481" s="337">
        <f t="shared" si="225"/>
        <v>0.48058029279683917</v>
      </c>
      <c r="O481" s="343">
        <f t="shared" si="226"/>
        <v>1.0544255263524585</v>
      </c>
      <c r="P481" s="691">
        <f t="shared" si="227"/>
        <v>0.32269657052701428</v>
      </c>
      <c r="Q481" s="336">
        <f t="shared" si="242"/>
        <v>4.7611279362384522</v>
      </c>
      <c r="R481" s="692">
        <f t="shared" si="228"/>
        <v>0.5117011640465382</v>
      </c>
      <c r="S481" s="329">
        <f t="shared" si="229"/>
        <v>0.97795223250148822</v>
      </c>
      <c r="T481" s="330">
        <f t="shared" si="230"/>
        <v>0.34743401542506425</v>
      </c>
      <c r="U481" s="331">
        <f t="shared" si="231"/>
        <v>-4.2743684970523317</v>
      </c>
      <c r="V481" s="332">
        <f t="shared" si="232"/>
        <v>-143.82937912762054</v>
      </c>
      <c r="W481" s="334">
        <f t="shared" si="233"/>
        <v>36.170620872379459</v>
      </c>
      <c r="Y481" s="307">
        <f t="shared" si="234"/>
        <v>57544</v>
      </c>
      <c r="Z481" s="307">
        <f t="shared" si="235"/>
        <v>3311311936</v>
      </c>
      <c r="AB481" s="333">
        <f t="shared" si="236"/>
        <v>33.679250290682916</v>
      </c>
      <c r="AC481" s="334">
        <f t="shared" si="237"/>
        <v>-31.790443954476533</v>
      </c>
      <c r="AE481" s="333">
        <f t="shared" si="238"/>
        <v>-12.818540152374267</v>
      </c>
      <c r="AF481" s="334">
        <f t="shared" si="239"/>
        <v>-101.20976964351553</v>
      </c>
      <c r="AH481">
        <f t="shared" si="240"/>
        <v>0</v>
      </c>
      <c r="AI481">
        <f t="shared" si="245"/>
        <v>0</v>
      </c>
    </row>
    <row r="482" spans="1:35" x14ac:dyDescent="0.25">
      <c r="A482" s="335">
        <v>57879</v>
      </c>
      <c r="B482" s="352">
        <f t="shared" si="241"/>
        <v>57.878999999999998</v>
      </c>
      <c r="C482" s="325">
        <f t="shared" si="216"/>
        <v>123.28439821069342</v>
      </c>
      <c r="D482" s="326">
        <f t="shared" si="217"/>
        <v>1.5626849113973178</v>
      </c>
      <c r="E482" s="326">
        <f t="shared" si="218"/>
        <v>1.0105247631168934</v>
      </c>
      <c r="F482" s="327">
        <f t="shared" si="219"/>
        <v>0.14445259266396668</v>
      </c>
      <c r="G482" s="326">
        <f t="shared" si="220"/>
        <v>1</v>
      </c>
      <c r="H482" s="327">
        <f t="shared" si="221"/>
        <v>0</v>
      </c>
      <c r="I482" s="325">
        <f t="shared" si="222"/>
        <v>19098.620721269657</v>
      </c>
      <c r="J482" s="328">
        <f t="shared" si="223"/>
        <v>1.5707439669928434</v>
      </c>
      <c r="K482" s="336">
        <f t="shared" si="243"/>
        <v>13.54564351523382</v>
      </c>
      <c r="L482" s="337">
        <f t="shared" si="244"/>
        <v>1.4969046304716085</v>
      </c>
      <c r="M482" s="325">
        <f t="shared" si="224"/>
        <v>1.1291493731018885</v>
      </c>
      <c r="N482" s="337">
        <f t="shared" si="225"/>
        <v>0.48296377468346163</v>
      </c>
      <c r="O482" s="343">
        <f t="shared" si="226"/>
        <v>1.0550444780473791</v>
      </c>
      <c r="P482" s="691">
        <f t="shared" si="227"/>
        <v>0.32444643664304218</v>
      </c>
      <c r="Q482" s="336">
        <f t="shared" si="242"/>
        <v>4.7677347469558926</v>
      </c>
      <c r="R482" s="692">
        <f t="shared" si="228"/>
        <v>0.51418954997669442</v>
      </c>
      <c r="S482" s="329">
        <f t="shared" si="229"/>
        <v>0.97773097176524804</v>
      </c>
      <c r="T482" s="330">
        <f t="shared" si="230"/>
        <v>0.34962546112712023</v>
      </c>
      <c r="U482" s="331">
        <f t="shared" si="231"/>
        <v>-4.3398289462905897</v>
      </c>
      <c r="V482" s="332">
        <f t="shared" si="232"/>
        <v>-144.064737607464</v>
      </c>
      <c r="W482" s="334">
        <f t="shared" si="233"/>
        <v>35.935262392536004</v>
      </c>
      <c r="Y482" s="307">
        <f t="shared" si="234"/>
        <v>57879</v>
      </c>
      <c r="Z482" s="307">
        <f t="shared" si="235"/>
        <v>3349978641</v>
      </c>
      <c r="AB482" s="333">
        <f t="shared" si="236"/>
        <v>33.668149201530717</v>
      </c>
      <c r="AC482" s="334">
        <f t="shared" si="237"/>
        <v>-31.902468328236431</v>
      </c>
      <c r="AE482" s="333">
        <f t="shared" si="238"/>
        <v>-12.865951988733755</v>
      </c>
      <c r="AF482" s="334">
        <f t="shared" si="239"/>
        <v>-101.2907896811144</v>
      </c>
      <c r="AH482">
        <f t="shared" si="240"/>
        <v>0</v>
      </c>
      <c r="AI482">
        <f t="shared" si="245"/>
        <v>0</v>
      </c>
    </row>
    <row r="483" spans="1:35" x14ac:dyDescent="0.25">
      <c r="A483" s="335">
        <v>58214</v>
      </c>
      <c r="B483" s="352">
        <f t="shared" si="241"/>
        <v>58.213999999999999</v>
      </c>
      <c r="C483" s="325">
        <f t="shared" si="216"/>
        <v>123.99791371587182</v>
      </c>
      <c r="D483" s="326">
        <f t="shared" si="217"/>
        <v>1.5627315875576153</v>
      </c>
      <c r="E483" s="326">
        <f t="shared" si="218"/>
        <v>1.0106463054269803</v>
      </c>
      <c r="F483" s="327">
        <f t="shared" si="219"/>
        <v>0.14527699376334044</v>
      </c>
      <c r="G483" s="326">
        <f t="shared" si="220"/>
        <v>1</v>
      </c>
      <c r="H483" s="327">
        <f t="shared" si="221"/>
        <v>0</v>
      </c>
      <c r="I483" s="325">
        <f t="shared" si="222"/>
        <v>19209.162332633627</v>
      </c>
      <c r="J483" s="328">
        <f t="shared" si="223"/>
        <v>1.5707442683041026</v>
      </c>
      <c r="K483" s="336">
        <f t="shared" si="243"/>
        <v>13.623618776603831</v>
      </c>
      <c r="L483" s="337">
        <f t="shared" si="244"/>
        <v>1.4973283169634575</v>
      </c>
      <c r="M483" s="325">
        <f t="shared" si="224"/>
        <v>1.1305620870995743</v>
      </c>
      <c r="N483" s="337">
        <f t="shared" si="225"/>
        <v>0.48534131340428044</v>
      </c>
      <c r="O483" s="343">
        <f t="shared" si="226"/>
        <v>1.0556666565276136</v>
      </c>
      <c r="P483" s="691">
        <f t="shared" si="227"/>
        <v>0.32619424546774767</v>
      </c>
      <c r="Q483" s="336">
        <f t="shared" si="242"/>
        <v>4.7743706869596636</v>
      </c>
      <c r="R483" s="692">
        <f t="shared" si="228"/>
        <v>0.51667107066558848</v>
      </c>
      <c r="S483" s="329">
        <f t="shared" si="229"/>
        <v>0.97750928755458866</v>
      </c>
      <c r="T483" s="330">
        <f t="shared" si="230"/>
        <v>0.35181981151765346</v>
      </c>
      <c r="U483" s="331">
        <f t="shared" si="231"/>
        <v>-4.405032182658946</v>
      </c>
      <c r="V483" s="332">
        <f t="shared" si="232"/>
        <v>-144.29990761082439</v>
      </c>
      <c r="W483" s="334">
        <f t="shared" si="233"/>
        <v>35.700092389175609</v>
      </c>
      <c r="Y483" s="307">
        <f t="shared" si="234"/>
        <v>58214</v>
      </c>
      <c r="Z483" s="307">
        <f t="shared" si="235"/>
        <v>3388869796</v>
      </c>
      <c r="AB483" s="333">
        <f t="shared" si="236"/>
        <v>33.657017166182037</v>
      </c>
      <c r="AC483" s="334">
        <f t="shared" si="237"/>
        <v>-32.014433078740048</v>
      </c>
      <c r="AE483" s="333">
        <f t="shared" si="238"/>
        <v>-12.913062911068469</v>
      </c>
      <c r="AF483" s="334">
        <f t="shared" si="239"/>
        <v>-101.37195634072643</v>
      </c>
      <c r="AH483">
        <f t="shared" si="240"/>
        <v>0</v>
      </c>
      <c r="AI483">
        <f t="shared" si="245"/>
        <v>0</v>
      </c>
    </row>
    <row r="484" spans="1:35" x14ac:dyDescent="0.25">
      <c r="A484" s="335">
        <v>58549</v>
      </c>
      <c r="B484" s="352">
        <f t="shared" si="241"/>
        <v>58.548999999999999</v>
      </c>
      <c r="C484" s="325">
        <f t="shared" si="216"/>
        <v>124.71142948810879</v>
      </c>
      <c r="D484" s="326">
        <f t="shared" si="217"/>
        <v>1.5627777296181837</v>
      </c>
      <c r="E484" s="326">
        <f t="shared" si="218"/>
        <v>1.0107685344444031</v>
      </c>
      <c r="F484" s="327">
        <f t="shared" si="219"/>
        <v>0.14610119603836513</v>
      </c>
      <c r="G484" s="326">
        <f t="shared" si="220"/>
        <v>1</v>
      </c>
      <c r="H484" s="327">
        <f t="shared" si="221"/>
        <v>0</v>
      </c>
      <c r="I484" s="325">
        <f t="shared" si="222"/>
        <v>19319.70394399932</v>
      </c>
      <c r="J484" s="328">
        <f t="shared" si="223"/>
        <v>1.5707445661673349</v>
      </c>
      <c r="K484" s="336">
        <f t="shared" si="243"/>
        <v>13.701596455717315</v>
      </c>
      <c r="L484" s="337">
        <f t="shared" si="244"/>
        <v>1.4977471810130205</v>
      </c>
      <c r="M484" s="325">
        <f t="shared" si="224"/>
        <v>1.1319811758423917</v>
      </c>
      <c r="N484" s="337">
        <f t="shared" si="225"/>
        <v>0.48771290438193232</v>
      </c>
      <c r="O484" s="343">
        <f t="shared" si="226"/>
        <v>1.0562920560912266</v>
      </c>
      <c r="P484" s="691">
        <f t="shared" si="227"/>
        <v>0.32793998996742252</v>
      </c>
      <c r="Q484" s="336">
        <f t="shared" si="242"/>
        <v>4.781035634971845</v>
      </c>
      <c r="R484" s="692">
        <f t="shared" si="228"/>
        <v>0.51914572468567832</v>
      </c>
      <c r="S484" s="329">
        <f t="shared" si="229"/>
        <v>0.97728719541039077</v>
      </c>
      <c r="T484" s="330">
        <f t="shared" si="230"/>
        <v>0.35401708194335174</v>
      </c>
      <c r="U484" s="331">
        <f t="shared" si="231"/>
        <v>-4.469981152618117</v>
      </c>
      <c r="V484" s="332">
        <f t="shared" si="232"/>
        <v>-144.53488588343274</v>
      </c>
      <c r="W484" s="334">
        <f t="shared" si="233"/>
        <v>35.465114116567264</v>
      </c>
      <c r="Y484" s="307">
        <f t="shared" si="234"/>
        <v>58549</v>
      </c>
      <c r="Z484" s="307">
        <f t="shared" si="235"/>
        <v>3427985401</v>
      </c>
      <c r="AB484" s="333">
        <f t="shared" si="236"/>
        <v>33.645854411317899</v>
      </c>
      <c r="AC484" s="334">
        <f t="shared" si="237"/>
        <v>-32.126333156695033</v>
      </c>
      <c r="AE484" s="333">
        <f t="shared" si="238"/>
        <v>-12.959876397088612</v>
      </c>
      <c r="AF484" s="334">
        <f t="shared" si="239"/>
        <v>-101.45327109616538</v>
      </c>
      <c r="AH484">
        <f t="shared" si="240"/>
        <v>0</v>
      </c>
      <c r="AI484">
        <f t="shared" si="245"/>
        <v>0</v>
      </c>
    </row>
    <row r="485" spans="1:35" x14ac:dyDescent="0.25">
      <c r="A485" s="335">
        <v>58884</v>
      </c>
      <c r="B485" s="352">
        <f t="shared" si="241"/>
        <v>58.884</v>
      </c>
      <c r="C485" s="325">
        <f t="shared" si="216"/>
        <v>125.42494552284658</v>
      </c>
      <c r="D485" s="326">
        <f t="shared" si="217"/>
        <v>1.5628233466939669</v>
      </c>
      <c r="E485" s="326">
        <f t="shared" si="218"/>
        <v>1.0108914499200681</v>
      </c>
      <c r="F485" s="327">
        <f t="shared" si="219"/>
        <v>0.14692519844158888</v>
      </c>
      <c r="G485" s="326">
        <f t="shared" si="220"/>
        <v>1</v>
      </c>
      <c r="H485" s="327">
        <f t="shared" si="221"/>
        <v>0</v>
      </c>
      <c r="I485" s="325">
        <f t="shared" si="222"/>
        <v>19430.24555536671</v>
      </c>
      <c r="J485" s="328">
        <f t="shared" si="223"/>
        <v>1.5707448606413892</v>
      </c>
      <c r="K485" s="336">
        <f t="shared" si="243"/>
        <v>13.779576511528738</v>
      </c>
      <c r="L485" s="337">
        <f t="shared" si="244"/>
        <v>1.4981613043441651</v>
      </c>
      <c r="M485" s="325">
        <f t="shared" si="224"/>
        <v>1.1334066153857236</v>
      </c>
      <c r="N485" s="337">
        <f t="shared" si="225"/>
        <v>0.49007854332954692</v>
      </c>
      <c r="O485" s="343">
        <f t="shared" si="226"/>
        <v>1.0569206710202936</v>
      </c>
      <c r="P485" s="691">
        <f t="shared" si="227"/>
        <v>0.32968366317529368</v>
      </c>
      <c r="Q485" s="336">
        <f t="shared" si="242"/>
        <v>4.7877294698611772</v>
      </c>
      <c r="R485" s="692">
        <f t="shared" si="228"/>
        <v>0.52161351095017061</v>
      </c>
      <c r="S485" s="329">
        <f t="shared" si="229"/>
        <v>0.97706471097851488</v>
      </c>
      <c r="T485" s="330">
        <f t="shared" si="230"/>
        <v>0.35621728770687894</v>
      </c>
      <c r="U485" s="331">
        <f t="shared" si="231"/>
        <v>-4.5346787462458451</v>
      </c>
      <c r="V485" s="332">
        <f t="shared" si="232"/>
        <v>-144.76966929654702</v>
      </c>
      <c r="W485" s="334">
        <f t="shared" si="233"/>
        <v>35.230330703452978</v>
      </c>
      <c r="Y485" s="307">
        <f t="shared" si="234"/>
        <v>58884</v>
      </c>
      <c r="Z485" s="307">
        <f t="shared" si="235"/>
        <v>3467325456</v>
      </c>
      <c r="AB485" s="333">
        <f t="shared" si="236"/>
        <v>33.634661165677784</v>
      </c>
      <c r="AC485" s="334">
        <f t="shared" si="237"/>
        <v>-32.23816363742089</v>
      </c>
      <c r="AE485" s="333">
        <f t="shared" si="238"/>
        <v>-13.00639586845546</v>
      </c>
      <c r="AF485" s="334">
        <f t="shared" si="239"/>
        <v>-101.5347354064717</v>
      </c>
      <c r="AH485">
        <f t="shared" si="240"/>
        <v>0</v>
      </c>
      <c r="AI485">
        <f t="shared" si="245"/>
        <v>0</v>
      </c>
    </row>
    <row r="486" spans="1:35" x14ac:dyDescent="0.25">
      <c r="A486" s="335">
        <v>59227</v>
      </c>
      <c r="B486" s="352">
        <f t="shared" si="241"/>
        <v>59.226999999999997</v>
      </c>
      <c r="C486" s="325">
        <f t="shared" si="216"/>
        <v>126.15550101380079</v>
      </c>
      <c r="D486" s="326">
        <f t="shared" si="217"/>
        <v>1.5628695184954391</v>
      </c>
      <c r="E486" s="326">
        <f t="shared" si="218"/>
        <v>1.0110180116727192</v>
      </c>
      <c r="F486" s="327">
        <f t="shared" si="219"/>
        <v>0.14776867033352789</v>
      </c>
      <c r="G486" s="326">
        <f t="shared" si="220"/>
        <v>1</v>
      </c>
      <c r="H486" s="327">
        <f t="shared" si="221"/>
        <v>0</v>
      </c>
      <c r="I486" s="325">
        <f t="shared" si="222"/>
        <v>19543.426966410272</v>
      </c>
      <c r="J486" s="328">
        <f t="shared" si="223"/>
        <v>1.5707451586961718</v>
      </c>
      <c r="K486" s="336">
        <f t="shared" si="243"/>
        <v>13.859421198242432</v>
      </c>
      <c r="L486" s="337">
        <f t="shared" si="244"/>
        <v>1.4985804887238787</v>
      </c>
      <c r="M486" s="325">
        <f t="shared" si="224"/>
        <v>1.134872650386564</v>
      </c>
      <c r="N486" s="337">
        <f t="shared" si="225"/>
        <v>0.49249450403880546</v>
      </c>
      <c r="O486" s="343">
        <f t="shared" si="226"/>
        <v>1.0575676231206184</v>
      </c>
      <c r="P486" s="691">
        <f t="shared" si="227"/>
        <v>0.33146682305693681</v>
      </c>
      <c r="Q486" s="336">
        <f t="shared" si="242"/>
        <v>4.7946129610486459</v>
      </c>
      <c r="R486" s="692">
        <f t="shared" si="228"/>
        <v>0.52413311292003695</v>
      </c>
      <c r="S486" s="329">
        <f t="shared" si="229"/>
        <v>0.9768365234842441</v>
      </c>
      <c r="T486" s="330">
        <f t="shared" si="230"/>
        <v>0.3584730929531289</v>
      </c>
      <c r="U486" s="331">
        <f t="shared" si="231"/>
        <v>-4.6006638650439049</v>
      </c>
      <c r="V486" s="332">
        <f t="shared" si="232"/>
        <v>-145.0098544437526</v>
      </c>
      <c r="W486" s="334">
        <f t="shared" si="233"/>
        <v>34.990145556247398</v>
      </c>
      <c r="Y486" s="307">
        <f t="shared" si="234"/>
        <v>59227</v>
      </c>
      <c r="Z486" s="307">
        <f t="shared" si="235"/>
        <v>3507837529</v>
      </c>
      <c r="AB486" s="333">
        <f t="shared" si="236"/>
        <v>33.623169267891925</v>
      </c>
      <c r="AC486" s="334">
        <f t="shared" si="237"/>
        <v>-32.352587571147311</v>
      </c>
      <c r="AE486" s="333">
        <f t="shared" si="238"/>
        <v>-13.053725138125444</v>
      </c>
      <c r="AF486" s="334">
        <f t="shared" si="239"/>
        <v>-101.61830159639162</v>
      </c>
      <c r="AH486">
        <f t="shared" si="240"/>
        <v>0</v>
      </c>
      <c r="AI486">
        <f t="shared" si="245"/>
        <v>0</v>
      </c>
    </row>
    <row r="487" spans="1:35" x14ac:dyDescent="0.25">
      <c r="A487" s="335">
        <v>59570</v>
      </c>
      <c r="B487" s="352">
        <f t="shared" si="241"/>
        <v>59.57</v>
      </c>
      <c r="C487" s="325">
        <f t="shared" si="216"/>
        <v>126.88605677060083</v>
      </c>
      <c r="D487" s="326">
        <f t="shared" si="217"/>
        <v>1.5629151586219567</v>
      </c>
      <c r="E487" s="326">
        <f t="shared" si="218"/>
        <v>1.0111452925285511</v>
      </c>
      <c r="F487" s="327">
        <f t="shared" si="219"/>
        <v>0.1486119304763171</v>
      </c>
      <c r="G487" s="326">
        <f t="shared" si="220"/>
        <v>1</v>
      </c>
      <c r="H487" s="327">
        <f t="shared" si="221"/>
        <v>0</v>
      </c>
      <c r="I487" s="325">
        <f t="shared" si="222"/>
        <v>19656.608377455548</v>
      </c>
      <c r="J487" s="328">
        <f t="shared" si="223"/>
        <v>1.5707454533185965</v>
      </c>
      <c r="K487" s="336">
        <f t="shared" si="243"/>
        <v>13.939268292372443</v>
      </c>
      <c r="L487" s="337">
        <f t="shared" si="244"/>
        <v>1.4989948708211087</v>
      </c>
      <c r="M487" s="325">
        <f t="shared" si="224"/>
        <v>1.1363452923727189</v>
      </c>
      <c r="N487" s="337">
        <f t="shared" si="225"/>
        <v>0.49490421687433644</v>
      </c>
      <c r="O487" s="343">
        <f t="shared" si="226"/>
        <v>1.0582179338076481</v>
      </c>
      <c r="P487" s="691">
        <f t="shared" si="227"/>
        <v>0.33324779697165224</v>
      </c>
      <c r="Q487" s="336">
        <f t="shared" si="242"/>
        <v>4.8015264787529377</v>
      </c>
      <c r="R487" s="692">
        <f t="shared" si="228"/>
        <v>0.52664551397833337</v>
      </c>
      <c r="S487" s="329">
        <f t="shared" si="229"/>
        <v>0.97660795827623559</v>
      </c>
      <c r="T487" s="330">
        <f t="shared" si="230"/>
        <v>0.36073200772914238</v>
      </c>
      <c r="U487" s="331">
        <f t="shared" si="231"/>
        <v>-4.6663914150356147</v>
      </c>
      <c r="V487" s="332">
        <f t="shared" si="232"/>
        <v>-145.24982906539188</v>
      </c>
      <c r="W487" s="334">
        <f t="shared" si="233"/>
        <v>34.750170934608121</v>
      </c>
      <c r="Y487" s="307">
        <f t="shared" si="234"/>
        <v>59570</v>
      </c>
      <c r="Z487" s="307">
        <f t="shared" si="235"/>
        <v>3548584900</v>
      </c>
      <c r="AB487" s="333">
        <f t="shared" si="236"/>
        <v>33.611645897076272</v>
      </c>
      <c r="AC487" s="334">
        <f t="shared" si="237"/>
        <v>-32.466928481936804</v>
      </c>
      <c r="AE487" s="333">
        <f t="shared" si="238"/>
        <v>-13.100753268241537</v>
      </c>
      <c r="AF487" s="334">
        <f t="shared" si="239"/>
        <v>-101.70202761884508</v>
      </c>
      <c r="AH487">
        <f t="shared" si="240"/>
        <v>0</v>
      </c>
      <c r="AI487">
        <f t="shared" si="245"/>
        <v>0</v>
      </c>
    </row>
    <row r="488" spans="1:35" x14ac:dyDescent="0.25">
      <c r="A488" s="335">
        <v>59913</v>
      </c>
      <c r="B488" s="352">
        <f t="shared" si="241"/>
        <v>59.912999999999997</v>
      </c>
      <c r="C488" s="325">
        <f t="shared" si="216"/>
        <v>127.61661278868111</v>
      </c>
      <c r="D488" s="326">
        <f t="shared" si="217"/>
        <v>1.5629602762042312</v>
      </c>
      <c r="E488" s="326">
        <f t="shared" si="218"/>
        <v>1.0112732922160406</v>
      </c>
      <c r="F488" s="327">
        <f t="shared" si="219"/>
        <v>0.14945497775087371</v>
      </c>
      <c r="G488" s="326">
        <f t="shared" si="220"/>
        <v>1</v>
      </c>
      <c r="H488" s="327">
        <f t="shared" si="221"/>
        <v>0</v>
      </c>
      <c r="I488" s="325">
        <f t="shared" si="222"/>
        <v>19769.789788502512</v>
      </c>
      <c r="J488" s="328">
        <f t="shared" si="223"/>
        <v>1.5707457445676132</v>
      </c>
      <c r="K488" s="336">
        <f t="shared" si="243"/>
        <v>14.019117752783828</v>
      </c>
      <c r="L488" s="337">
        <f t="shared" si="244"/>
        <v>1.4994045325501901</v>
      </c>
      <c r="M488" s="325">
        <f t="shared" si="224"/>
        <v>1.1378245156906965</v>
      </c>
      <c r="N488" s="337">
        <f t="shared" si="225"/>
        <v>0.49730767816463478</v>
      </c>
      <c r="O488" s="343">
        <f t="shared" si="226"/>
        <v>1.0588715968933102</v>
      </c>
      <c r="P488" s="691">
        <f t="shared" si="227"/>
        <v>0.33502657765941524</v>
      </c>
      <c r="Q488" s="336">
        <f t="shared" si="242"/>
        <v>4.8084698934747498</v>
      </c>
      <c r="R488" s="692">
        <f t="shared" si="228"/>
        <v>0.5291507140446613</v>
      </c>
      <c r="S488" s="329">
        <f t="shared" si="229"/>
        <v>0.97637903249151048</v>
      </c>
      <c r="T488" s="330">
        <f t="shared" si="230"/>
        <v>0.36299404831146986</v>
      </c>
      <c r="U488" s="331">
        <f t="shared" si="231"/>
        <v>-4.7318643238739382</v>
      </c>
      <c r="V488" s="332">
        <f t="shared" si="232"/>
        <v>-145.48959019234516</v>
      </c>
      <c r="W488" s="334">
        <f t="shared" si="233"/>
        <v>34.510409807654838</v>
      </c>
      <c r="Y488" s="307">
        <f t="shared" si="234"/>
        <v>59913</v>
      </c>
      <c r="Z488" s="307">
        <f t="shared" si="235"/>
        <v>3589567569</v>
      </c>
      <c r="AB488" s="333">
        <f t="shared" si="236"/>
        <v>33.600091304682103</v>
      </c>
      <c r="AC488" s="334">
        <f t="shared" si="237"/>
        <v>-32.581181469459565</v>
      </c>
      <c r="AE488" s="333">
        <f t="shared" si="238"/>
        <v>-13.147483757249924</v>
      </c>
      <c r="AF488" s="334">
        <f t="shared" si="239"/>
        <v>-101.78591499367967</v>
      </c>
      <c r="AH488">
        <f t="shared" si="240"/>
        <v>0</v>
      </c>
      <c r="AI488">
        <f t="shared" si="245"/>
        <v>0</v>
      </c>
    </row>
    <row r="489" spans="1:35" x14ac:dyDescent="0.25">
      <c r="A489" s="335">
        <v>60256</v>
      </c>
      <c r="B489" s="352">
        <f t="shared" si="241"/>
        <v>60.256</v>
      </c>
      <c r="C489" s="325">
        <f t="shared" si="216"/>
        <v>128.34716906357997</v>
      </c>
      <c r="D489" s="326">
        <f t="shared" si="217"/>
        <v>1.5630048801650944</v>
      </c>
      <c r="E489" s="326">
        <f t="shared" si="218"/>
        <v>1.0114020104622687</v>
      </c>
      <c r="F489" s="327">
        <f t="shared" si="219"/>
        <v>0.15029781103989007</v>
      </c>
      <c r="G489" s="326">
        <f t="shared" si="220"/>
        <v>1</v>
      </c>
      <c r="H489" s="327">
        <f t="shared" si="221"/>
        <v>0</v>
      </c>
      <c r="I489" s="325">
        <f t="shared" si="222"/>
        <v>19882.971199551132</v>
      </c>
      <c r="J489" s="328">
        <f t="shared" si="223"/>
        <v>1.5707460325008304</v>
      </c>
      <c r="K489" s="336">
        <f t="shared" si="243"/>
        <v>14.098969539272316</v>
      </c>
      <c r="L489" s="337">
        <f t="shared" si="244"/>
        <v>1.4998095539761376</v>
      </c>
      <c r="M489" s="325">
        <f t="shared" si="224"/>
        <v>1.1393102947058846</v>
      </c>
      <c r="N489" s="337">
        <f t="shared" si="225"/>
        <v>0.49970488454612122</v>
      </c>
      <c r="O489" s="343">
        <f t="shared" si="226"/>
        <v>1.0595286061729419</v>
      </c>
      <c r="P489" s="691">
        <f t="shared" si="227"/>
        <v>0.33680315793358662</v>
      </c>
      <c r="Q489" s="336">
        <f t="shared" si="242"/>
        <v>4.8154430759033051</v>
      </c>
      <c r="R489" s="692">
        <f t="shared" si="228"/>
        <v>0.53164871339673214</v>
      </c>
      <c r="S489" s="329">
        <f t="shared" si="229"/>
        <v>0.9761497633832672</v>
      </c>
      <c r="T489" s="330">
        <f t="shared" si="230"/>
        <v>0.36525923092462104</v>
      </c>
      <c r="U489" s="331">
        <f t="shared" si="231"/>
        <v>-4.7970854633601894</v>
      </c>
      <c r="V489" s="332">
        <f t="shared" si="232"/>
        <v>-145.72913498033594</v>
      </c>
      <c r="W489" s="334">
        <f t="shared" si="233"/>
        <v>34.270865019664058</v>
      </c>
      <c r="Y489" s="307">
        <f t="shared" si="234"/>
        <v>60256</v>
      </c>
      <c r="Z489" s="307">
        <f t="shared" si="235"/>
        <v>3630785536</v>
      </c>
      <c r="AB489" s="333">
        <f t="shared" si="236"/>
        <v>33.588505743913117</v>
      </c>
      <c r="AC489" s="334">
        <f t="shared" si="237"/>
        <v>-32.695341756910004</v>
      </c>
      <c r="AE489" s="333">
        <f t="shared" si="238"/>
        <v>-13.193920047535814</v>
      </c>
      <c r="AF489" s="334">
        <f t="shared" si="239"/>
        <v>-101.86996522574896</v>
      </c>
      <c r="AH489">
        <f t="shared" si="240"/>
        <v>0</v>
      </c>
      <c r="AI489">
        <f t="shared" si="245"/>
        <v>0</v>
      </c>
    </row>
    <row r="490" spans="1:35" x14ac:dyDescent="0.25">
      <c r="A490" s="335">
        <v>60607</v>
      </c>
      <c r="B490" s="352">
        <f t="shared" si="241"/>
        <v>60.606999999999999</v>
      </c>
      <c r="C490" s="325">
        <f t="shared" si="216"/>
        <v>129.09476481321207</v>
      </c>
      <c r="D490" s="326">
        <f t="shared" si="217"/>
        <v>1.5630500018184963</v>
      </c>
      <c r="E490" s="326">
        <f t="shared" si="218"/>
        <v>1.0115344744904011</v>
      </c>
      <c r="F490" s="327">
        <f t="shared" si="219"/>
        <v>0.15116007955424332</v>
      </c>
      <c r="G490" s="326">
        <f t="shared" si="220"/>
        <v>1</v>
      </c>
      <c r="H490" s="327">
        <f t="shared" si="221"/>
        <v>0</v>
      </c>
      <c r="I490" s="325">
        <f t="shared" si="222"/>
        <v>19998.792410276044</v>
      </c>
      <c r="J490" s="328">
        <f t="shared" si="223"/>
        <v>1.5707463237757191</v>
      </c>
      <c r="K490" s="336">
        <f t="shared" si="243"/>
        <v>14.180686125191007</v>
      </c>
      <c r="L490" s="337">
        <f t="shared" si="244"/>
        <v>1.5002192997039849</v>
      </c>
      <c r="M490" s="325">
        <f t="shared" si="224"/>
        <v>1.1408374875696961</v>
      </c>
      <c r="N490" s="337">
        <f t="shared" si="225"/>
        <v>0.50215152381680794</v>
      </c>
      <c r="O490" s="343">
        <f t="shared" si="226"/>
        <v>1.0602043969657871</v>
      </c>
      <c r="P490" s="691">
        <f t="shared" si="227"/>
        <v>0.33861888906696647</v>
      </c>
      <c r="Q490" s="336">
        <f t="shared" si="242"/>
        <v>4.822609580688618</v>
      </c>
      <c r="R490" s="692">
        <f t="shared" si="228"/>
        <v>0.53419752119267638</v>
      </c>
      <c r="S490" s="329">
        <f t="shared" si="229"/>
        <v>0.97591480958484689</v>
      </c>
      <c r="T490" s="330">
        <f t="shared" si="230"/>
        <v>0.36758051546754034</v>
      </c>
      <c r="U490" s="331">
        <f t="shared" si="231"/>
        <v>-4.8635700885862869</v>
      </c>
      <c r="V490" s="332">
        <f t="shared" si="232"/>
        <v>-145.97404001256754</v>
      </c>
      <c r="W490" s="334">
        <f t="shared" si="233"/>
        <v>34.025959987432458</v>
      </c>
      <c r="Y490" s="307">
        <f t="shared" si="234"/>
        <v>60607</v>
      </c>
      <c r="Z490" s="307">
        <f t="shared" si="235"/>
        <v>3673208449</v>
      </c>
      <c r="AB490" s="333">
        <f t="shared" si="236"/>
        <v>33.576618171627651</v>
      </c>
      <c r="AC490" s="334">
        <f t="shared" si="237"/>
        <v>-32.812063849187311</v>
      </c>
      <c r="AE490" s="333">
        <f t="shared" si="238"/>
        <v>-13.241138362581262</v>
      </c>
      <c r="AF490" s="334">
        <f t="shared" si="239"/>
        <v>-101.95614596683077</v>
      </c>
      <c r="AH490">
        <f t="shared" si="240"/>
        <v>0</v>
      </c>
      <c r="AI490">
        <f t="shared" si="245"/>
        <v>0</v>
      </c>
    </row>
    <row r="491" spans="1:35" x14ac:dyDescent="0.25">
      <c r="A491" s="335">
        <v>60958</v>
      </c>
      <c r="B491" s="352">
        <f t="shared" si="241"/>
        <v>60.957999999999998</v>
      </c>
      <c r="C491" s="325">
        <f t="shared" si="216"/>
        <v>129.84236082264971</v>
      </c>
      <c r="D491" s="326">
        <f t="shared" si="217"/>
        <v>1.5630946038762596</v>
      </c>
      <c r="E491" s="326">
        <f t="shared" si="218"/>
        <v>1.0116676904042106</v>
      </c>
      <c r="F491" s="327">
        <f t="shared" si="219"/>
        <v>0.15202212162318596</v>
      </c>
      <c r="G491" s="326">
        <f t="shared" si="220"/>
        <v>1</v>
      </c>
      <c r="H491" s="327">
        <f t="shared" si="221"/>
        <v>0</v>
      </c>
      <c r="I491" s="325">
        <f t="shared" si="222"/>
        <v>20114.613621002634</v>
      </c>
      <c r="J491" s="328">
        <f t="shared" si="223"/>
        <v>1.5707466116962499</v>
      </c>
      <c r="K491" s="336">
        <f t="shared" si="243"/>
        <v>14.262405064645172</v>
      </c>
      <c r="L491" s="337">
        <f t="shared" si="244"/>
        <v>1.5006243500798437</v>
      </c>
      <c r="M491" s="325">
        <f t="shared" si="224"/>
        <v>1.1423714912536422</v>
      </c>
      <c r="N491" s="337">
        <f t="shared" si="225"/>
        <v>0.50459160685020155</v>
      </c>
      <c r="O491" s="343">
        <f t="shared" si="226"/>
        <v>1.0608836786649605</v>
      </c>
      <c r="P491" s="691">
        <f t="shared" si="227"/>
        <v>0.34043230095455151</v>
      </c>
      <c r="Q491" s="336">
        <f t="shared" si="242"/>
        <v>4.8298069846036693</v>
      </c>
      <c r="R491" s="692">
        <f t="shared" si="228"/>
        <v>0.53673879018290305</v>
      </c>
      <c r="S491" s="329">
        <f t="shared" si="229"/>
        <v>0.97567953319068257</v>
      </c>
      <c r="T491" s="330">
        <f t="shared" si="230"/>
        <v>0.36990512452313634</v>
      </c>
      <c r="U491" s="331">
        <f t="shared" si="231"/>
        <v>-4.9297969749714108</v>
      </c>
      <c r="V491" s="332">
        <f t="shared" si="232"/>
        <v>-146.21871285725422</v>
      </c>
      <c r="W491" s="334">
        <f t="shared" si="233"/>
        <v>33.781287142745782</v>
      </c>
      <c r="Y491" s="307">
        <f t="shared" si="234"/>
        <v>60958</v>
      </c>
      <c r="Z491" s="307">
        <f t="shared" si="235"/>
        <v>3715877764</v>
      </c>
      <c r="AB491" s="333">
        <f t="shared" si="236"/>
        <v>33.564698711140217</v>
      </c>
      <c r="AC491" s="334">
        <f t="shared" si="237"/>
        <v>-32.928679128399857</v>
      </c>
      <c r="AE491" s="333">
        <f t="shared" si="238"/>
        <v>-13.288055714839766</v>
      </c>
      <c r="AF491" s="334">
        <f t="shared" si="239"/>
        <v>-102.04250039218732</v>
      </c>
      <c r="AH491">
        <f t="shared" si="240"/>
        <v>0</v>
      </c>
      <c r="AI491">
        <f t="shared" si="245"/>
        <v>0</v>
      </c>
    </row>
    <row r="492" spans="1:35" x14ac:dyDescent="0.25">
      <c r="A492" s="335">
        <v>61309</v>
      </c>
      <c r="B492" s="352">
        <f t="shared" si="241"/>
        <v>61.308999999999997</v>
      </c>
      <c r="C492" s="325">
        <f t="shared" si="216"/>
        <v>130.589957087431</v>
      </c>
      <c r="D492" s="326">
        <f t="shared" si="217"/>
        <v>1.5631386952618878</v>
      </c>
      <c r="E492" s="326">
        <f t="shared" si="218"/>
        <v>1.0118016579067131</v>
      </c>
      <c r="F492" s="327">
        <f t="shared" si="219"/>
        <v>0.15288393605521952</v>
      </c>
      <c r="G492" s="326">
        <f t="shared" si="220"/>
        <v>1</v>
      </c>
      <c r="H492" s="327">
        <f t="shared" si="221"/>
        <v>0</v>
      </c>
      <c r="I492" s="325">
        <f t="shared" si="222"/>
        <v>20230.434831730872</v>
      </c>
      <c r="J492" s="328">
        <f t="shared" si="223"/>
        <v>1.5707468963200342</v>
      </c>
      <c r="K492" s="336">
        <f t="shared" si="243"/>
        <v>14.344126317410311</v>
      </c>
      <c r="L492" s="337">
        <f t="shared" si="244"/>
        <v>1.5010247852206313</v>
      </c>
      <c r="M492" s="325">
        <f t="shared" si="224"/>
        <v>1.1439122783574847</v>
      </c>
      <c r="N492" s="337">
        <f t="shared" si="225"/>
        <v>0.50702513102431468</v>
      </c>
      <c r="O492" s="343">
        <f t="shared" si="226"/>
        <v>1.0615664445691138</v>
      </c>
      <c r="P492" s="691">
        <f t="shared" si="227"/>
        <v>0.34224338613330907</v>
      </c>
      <c r="Q492" s="336">
        <f t="shared" si="242"/>
        <v>4.8370351497333104</v>
      </c>
      <c r="R492" s="692">
        <f t="shared" si="228"/>
        <v>0.53927252180249918</v>
      </c>
      <c r="S492" s="329">
        <f t="shared" si="229"/>
        <v>0.97544395306871079</v>
      </c>
      <c r="T492" s="330">
        <f t="shared" si="230"/>
        <v>0.37223307530227417</v>
      </c>
      <c r="U492" s="331">
        <f t="shared" si="231"/>
        <v>-4.9957690275824458</v>
      </c>
      <c r="V492" s="332">
        <f t="shared" si="232"/>
        <v>-146.46315085258846</v>
      </c>
      <c r="W492" s="334">
        <f t="shared" si="233"/>
        <v>33.536849147411544</v>
      </c>
      <c r="Y492" s="307">
        <f t="shared" si="234"/>
        <v>61309</v>
      </c>
      <c r="Z492" s="307">
        <f t="shared" si="235"/>
        <v>3758793481</v>
      </c>
      <c r="AB492" s="333">
        <f t="shared" si="236"/>
        <v>33.552747638734317</v>
      </c>
      <c r="AC492" s="334">
        <f t="shared" si="237"/>
        <v>-33.045182857258453</v>
      </c>
      <c r="AE492" s="333">
        <f t="shared" si="238"/>
        <v>-13.334675619292165</v>
      </c>
      <c r="AF492" s="334">
        <f t="shared" si="239"/>
        <v>-102.12903006747537</v>
      </c>
      <c r="AH492">
        <f t="shared" si="240"/>
        <v>0</v>
      </c>
      <c r="AI492">
        <f t="shared" si="245"/>
        <v>0</v>
      </c>
    </row>
    <row r="493" spans="1:35" x14ac:dyDescent="0.25">
      <c r="A493" s="335">
        <v>61660</v>
      </c>
      <c r="B493" s="352">
        <f t="shared" si="241"/>
        <v>61.66</v>
      </c>
      <c r="C493" s="325">
        <f t="shared" si="216"/>
        <v>131.3375536031956</v>
      </c>
      <c r="D493" s="326">
        <f t="shared" si="217"/>
        <v>1.5631822846957155</v>
      </c>
      <c r="E493" s="326">
        <f t="shared" si="218"/>
        <v>1.0119363766994056</v>
      </c>
      <c r="F493" s="327">
        <f t="shared" si="219"/>
        <v>0.15374552166082728</v>
      </c>
      <c r="G493" s="326">
        <f t="shared" si="220"/>
        <v>1</v>
      </c>
      <c r="H493" s="327">
        <f t="shared" si="221"/>
        <v>0</v>
      </c>
      <c r="I493" s="325">
        <f t="shared" si="222"/>
        <v>20346.256042460729</v>
      </c>
      <c r="J493" s="328">
        <f t="shared" si="223"/>
        <v>1.5707471777033726</v>
      </c>
      <c r="K493" s="336">
        <f t="shared" si="243"/>
        <v>14.425849844172275</v>
      </c>
      <c r="L493" s="337">
        <f t="shared" si="244"/>
        <v>1.5014206834337891</v>
      </c>
      <c r="M493" s="325">
        <f t="shared" si="224"/>
        <v>1.1454598215075726</v>
      </c>
      <c r="N493" s="337">
        <f t="shared" si="225"/>
        <v>0.50945209404196889</v>
      </c>
      <c r="O493" s="343">
        <f t="shared" si="226"/>
        <v>1.0622526879597993</v>
      </c>
      <c r="P493" s="691">
        <f t="shared" si="227"/>
        <v>0.3440521372203979</v>
      </c>
      <c r="Q493" s="336">
        <f t="shared" si="242"/>
        <v>4.8442939383978612</v>
      </c>
      <c r="R493" s="692">
        <f t="shared" si="228"/>
        <v>0.54179871786088563</v>
      </c>
      <c r="S493" s="329">
        <f t="shared" si="229"/>
        <v>0.97520808821513483</v>
      </c>
      <c r="T493" s="330">
        <f t="shared" si="230"/>
        <v>0.37456438495443817</v>
      </c>
      <c r="U493" s="331">
        <f t="shared" si="231"/>
        <v>-5.061489096337243</v>
      </c>
      <c r="V493" s="332">
        <f t="shared" si="232"/>
        <v>-146.70735146055483</v>
      </c>
      <c r="W493" s="334">
        <f t="shared" si="233"/>
        <v>33.292648539445167</v>
      </c>
      <c r="Y493" s="307">
        <f t="shared" si="234"/>
        <v>61660</v>
      </c>
      <c r="Z493" s="307">
        <f t="shared" si="235"/>
        <v>3801955600</v>
      </c>
      <c r="AB493" s="333">
        <f t="shared" si="236"/>
        <v>33.540765232121636</v>
      </c>
      <c r="AC493" s="334">
        <f t="shared" si="237"/>
        <v>-33.161570420684356</v>
      </c>
      <c r="AE493" s="333">
        <f t="shared" si="238"/>
        <v>-13.381001534982641</v>
      </c>
      <c r="AF493" s="334">
        <f t="shared" si="239"/>
        <v>-102.21573654308069</v>
      </c>
      <c r="AH493">
        <f t="shared" si="240"/>
        <v>0</v>
      </c>
      <c r="AI493">
        <f t="shared" si="245"/>
        <v>0</v>
      </c>
    </row>
    <row r="494" spans="1:35" x14ac:dyDescent="0.25">
      <c r="A494" s="335">
        <v>62019</v>
      </c>
      <c r="B494" s="352">
        <f t="shared" si="241"/>
        <v>62.018999999999998</v>
      </c>
      <c r="C494" s="325">
        <f t="shared" si="216"/>
        <v>132.10218961097439</v>
      </c>
      <c r="D494" s="326">
        <f t="shared" si="217"/>
        <v>1.5632263572603373</v>
      </c>
      <c r="E494" s="326">
        <f t="shared" si="218"/>
        <v>1.0120749428636369</v>
      </c>
      <c r="F494" s="327">
        <f t="shared" si="219"/>
        <v>0.15462650659845417</v>
      </c>
      <c r="G494" s="326">
        <f t="shared" si="220"/>
        <v>1</v>
      </c>
      <c r="H494" s="327">
        <f t="shared" si="221"/>
        <v>0</v>
      </c>
      <c r="I494" s="325">
        <f t="shared" si="222"/>
        <v>20464.717052866989</v>
      </c>
      <c r="J494" s="328">
        <f t="shared" si="223"/>
        <v>1.5707474622052806</v>
      </c>
      <c r="K494" s="336">
        <f t="shared" si="243"/>
        <v>14.509438327699725</v>
      </c>
      <c r="L494" s="337">
        <f t="shared" si="244"/>
        <v>1.5018209915303686</v>
      </c>
      <c r="M494" s="325">
        <f t="shared" si="224"/>
        <v>1.1470495965710374</v>
      </c>
      <c r="N494" s="337">
        <f t="shared" si="225"/>
        <v>0.51192758322502385</v>
      </c>
      <c r="O494" s="343">
        <f t="shared" si="226"/>
        <v>1.0629581624833637</v>
      </c>
      <c r="P494" s="691">
        <f t="shared" si="227"/>
        <v>0.3458996912963464</v>
      </c>
      <c r="Q494" s="336">
        <f t="shared" si="242"/>
        <v>4.8517497047362568</v>
      </c>
      <c r="R494" s="692">
        <f t="shared" si="228"/>
        <v>0.54437469816638684</v>
      </c>
      <c r="S494" s="329">
        <f t="shared" si="229"/>
        <v>0.97496657291901823</v>
      </c>
      <c r="T494" s="330">
        <f t="shared" si="230"/>
        <v>0.37695232225754882</v>
      </c>
      <c r="U494" s="331">
        <f t="shared" si="231"/>
        <v>-5.1284493084451332</v>
      </c>
      <c r="V494" s="332">
        <f t="shared" si="232"/>
        <v>-146.95686981063363</v>
      </c>
      <c r="W494" s="334">
        <f t="shared" si="233"/>
        <v>33.043130189366366</v>
      </c>
      <c r="Y494" s="307">
        <f t="shared" si="234"/>
        <v>62019</v>
      </c>
      <c r="Z494" s="307">
        <f t="shared" si="235"/>
        <v>3846356361</v>
      </c>
      <c r="AB494" s="333">
        <f t="shared" si="236"/>
        <v>33.5284775994622</v>
      </c>
      <c r="AC494" s="334">
        <f t="shared" si="237"/>
        <v>-33.280485839559255</v>
      </c>
      <c r="AE494" s="333">
        <f t="shared" si="238"/>
        <v>-13.428082744102195</v>
      </c>
      <c r="AF494" s="334">
        <f t="shared" si="239"/>
        <v>-102.30460372559686</v>
      </c>
      <c r="AH494">
        <f t="shared" si="240"/>
        <v>0</v>
      </c>
      <c r="AI494">
        <f t="shared" si="245"/>
        <v>0</v>
      </c>
    </row>
    <row r="495" spans="1:35" x14ac:dyDescent="0.25">
      <c r="A495" s="335">
        <v>62378</v>
      </c>
      <c r="B495" s="352">
        <f t="shared" si="241"/>
        <v>62.378</v>
      </c>
      <c r="C495" s="325">
        <f t="shared" si="216"/>
        <v>132.86682587239395</v>
      </c>
      <c r="D495" s="326">
        <f t="shared" si="217"/>
        <v>1.5632699225579985</v>
      </c>
      <c r="E495" s="326">
        <f t="shared" si="218"/>
        <v>1.0122142943186898</v>
      </c>
      <c r="F495" s="327">
        <f t="shared" si="219"/>
        <v>0.15550724964925811</v>
      </c>
      <c r="G495" s="326">
        <f t="shared" si="220"/>
        <v>1</v>
      </c>
      <c r="H495" s="327">
        <f t="shared" si="221"/>
        <v>0</v>
      </c>
      <c r="I495" s="325">
        <f t="shared" si="222"/>
        <v>20583.178063274881</v>
      </c>
      <c r="J495" s="328">
        <f t="shared" si="223"/>
        <v>1.5707477434324382</v>
      </c>
      <c r="K495" s="336">
        <f t="shared" si="243"/>
        <v>14.593029109678632</v>
      </c>
      <c r="L495" s="337">
        <f t="shared" si="244"/>
        <v>1.5022167136553466</v>
      </c>
      <c r="M495" s="325">
        <f t="shared" si="224"/>
        <v>1.1486463813255594</v>
      </c>
      <c r="N495" s="337">
        <f t="shared" si="225"/>
        <v>0.5143962049242865</v>
      </c>
      <c r="O495" s="343">
        <f t="shared" si="226"/>
        <v>1.0636672605476925</v>
      </c>
      <c r="P495" s="691">
        <f t="shared" si="227"/>
        <v>0.34774478830473704</v>
      </c>
      <c r="Q495" s="336">
        <f t="shared" si="242"/>
        <v>4.8592372159091202</v>
      </c>
      <c r="R495" s="692">
        <f t="shared" si="228"/>
        <v>0.54694280050234956</v>
      </c>
      <c r="S495" s="329">
        <f t="shared" si="229"/>
        <v>0.97472480037272835</v>
      </c>
      <c r="T495" s="330">
        <f t="shared" si="230"/>
        <v>0.3793438093773257</v>
      </c>
      <c r="U495" s="331">
        <f t="shared" si="231"/>
        <v>-5.1951517794360154</v>
      </c>
      <c r="V495" s="332">
        <f t="shared" si="232"/>
        <v>-147.20613484160972</v>
      </c>
      <c r="W495" s="334">
        <f t="shared" si="233"/>
        <v>32.793865158390275</v>
      </c>
      <c r="Y495" s="307">
        <f t="shared" si="234"/>
        <v>62378</v>
      </c>
      <c r="Z495" s="307">
        <f t="shared" si="235"/>
        <v>3891014884</v>
      </c>
      <c r="AB495" s="333">
        <f t="shared" si="236"/>
        <v>33.51615777971972</v>
      </c>
      <c r="AC495" s="334">
        <f t="shared" si="237"/>
        <v>-33.399270349785176</v>
      </c>
      <c r="AE495" s="333">
        <f t="shared" si="238"/>
        <v>-13.474863556497695</v>
      </c>
      <c r="AF495" s="334">
        <f t="shared" si="239"/>
        <v>-102.39365909246439</v>
      </c>
      <c r="AH495">
        <f t="shared" si="240"/>
        <v>0</v>
      </c>
      <c r="AI495">
        <f t="shared" si="245"/>
        <v>0</v>
      </c>
    </row>
    <row r="496" spans="1:35" x14ac:dyDescent="0.25">
      <c r="A496" s="335">
        <v>62737</v>
      </c>
      <c r="B496" s="352">
        <f t="shared" si="241"/>
        <v>62.737000000000002</v>
      </c>
      <c r="C496" s="325">
        <f t="shared" si="216"/>
        <v>133.63146238310026</v>
      </c>
      <c r="D496" s="326">
        <f t="shared" si="217"/>
        <v>1.5633129892962458</v>
      </c>
      <c r="E496" s="326">
        <f t="shared" si="218"/>
        <v>1.0123544307402765</v>
      </c>
      <c r="F496" s="327">
        <f t="shared" si="219"/>
        <v>0.15638774954701076</v>
      </c>
      <c r="G496" s="326">
        <f t="shared" si="220"/>
        <v>1</v>
      </c>
      <c r="H496" s="327">
        <f t="shared" si="221"/>
        <v>0</v>
      </c>
      <c r="I496" s="325">
        <f t="shared" si="222"/>
        <v>20701.63907368439</v>
      </c>
      <c r="J496" s="328">
        <f t="shared" si="223"/>
        <v>1.570748021441063</v>
      </c>
      <c r="K496" s="336">
        <f t="shared" si="243"/>
        <v>14.676622150836469</v>
      </c>
      <c r="L496" s="337">
        <f t="shared" si="244"/>
        <v>1.502607928044112</v>
      </c>
      <c r="M496" s="325">
        <f t="shared" si="224"/>
        <v>1.1502501465784425</v>
      </c>
      <c r="N496" s="337">
        <f t="shared" si="225"/>
        <v>0.51685795771489984</v>
      </c>
      <c r="O496" s="343">
        <f t="shared" si="226"/>
        <v>1.0643799749106935</v>
      </c>
      <c r="P496" s="691">
        <f t="shared" si="227"/>
        <v>0.34958742060607845</v>
      </c>
      <c r="Q496" s="336">
        <f t="shared" si="242"/>
        <v>4.866756325416068</v>
      </c>
      <c r="R496" s="692">
        <f t="shared" si="228"/>
        <v>0.54950302798963546</v>
      </c>
      <c r="S496" s="329">
        <f t="shared" si="229"/>
        <v>0.97448279131896998</v>
      </c>
      <c r="T496" s="330">
        <f t="shared" si="230"/>
        <v>0.38173886445610483</v>
      </c>
      <c r="U496" s="331">
        <f t="shared" si="231"/>
        <v>-5.261599388735366</v>
      </c>
      <c r="V496" s="332">
        <f t="shared" si="232"/>
        <v>-147.45514421996577</v>
      </c>
      <c r="W496" s="334">
        <f t="shared" si="233"/>
        <v>32.544855780034226</v>
      </c>
      <c r="Y496" s="307">
        <f t="shared" si="234"/>
        <v>62737</v>
      </c>
      <c r="Z496" s="307">
        <f t="shared" si="235"/>
        <v>3935931169</v>
      </c>
      <c r="AB496" s="333">
        <f t="shared" si="236"/>
        <v>33.503806073940638</v>
      </c>
      <c r="AC496" s="334">
        <f t="shared" si="237"/>
        <v>-33.517919390387277</v>
      </c>
      <c r="AE496" s="333">
        <f t="shared" si="238"/>
        <v>-13.521347499949709</v>
      </c>
      <c r="AF496" s="334">
        <f t="shared" si="239"/>
        <v>-102.48290425461785</v>
      </c>
      <c r="AH496">
        <f t="shared" si="240"/>
        <v>0</v>
      </c>
      <c r="AI496">
        <f t="shared" si="245"/>
        <v>0</v>
      </c>
    </row>
    <row r="497" spans="1:35" x14ac:dyDescent="0.25">
      <c r="A497" s="335">
        <v>63096</v>
      </c>
      <c r="B497" s="352">
        <f t="shared" si="241"/>
        <v>63.095999999999997</v>
      </c>
      <c r="C497" s="325">
        <f t="shared" si="216"/>
        <v>134.39609913883845</v>
      </c>
      <c r="D497" s="326">
        <f t="shared" si="217"/>
        <v>1.5633555659844698</v>
      </c>
      <c r="E497" s="326">
        <f t="shared" si="218"/>
        <v>1.0124953518024626</v>
      </c>
      <c r="F497" s="327">
        <f t="shared" si="219"/>
        <v>0.15726800502769112</v>
      </c>
      <c r="G497" s="326">
        <f t="shared" si="220"/>
        <v>1</v>
      </c>
      <c r="H497" s="327">
        <f t="shared" si="221"/>
        <v>0</v>
      </c>
      <c r="I497" s="325">
        <f t="shared" si="222"/>
        <v>20820.100084095477</v>
      </c>
      <c r="J497" s="328">
        <f t="shared" si="223"/>
        <v>1.5707482962860928</v>
      </c>
      <c r="K497" s="336">
        <f t="shared" si="243"/>
        <v>14.760217412789324</v>
      </c>
      <c r="L497" s="337">
        <f t="shared" si="244"/>
        <v>1.5029947111652842</v>
      </c>
      <c r="M497" s="325">
        <f t="shared" si="224"/>
        <v>1.1518608631723093</v>
      </c>
      <c r="N497" s="337">
        <f t="shared" si="225"/>
        <v>0.51931284051294024</v>
      </c>
      <c r="O497" s="343">
        <f t="shared" si="226"/>
        <v>1.0650962983127756</v>
      </c>
      <c r="P497" s="691">
        <f t="shared" si="227"/>
        <v>0.35142758064822222</v>
      </c>
      <c r="Q497" s="336">
        <f t="shared" si="242"/>
        <v>4.874306887044356</v>
      </c>
      <c r="R497" s="692">
        <f t="shared" si="228"/>
        <v>0.5520553841382686</v>
      </c>
      <c r="S497" s="329">
        <f t="shared" si="229"/>
        <v>0.97424056664173431</v>
      </c>
      <c r="T497" s="330">
        <f t="shared" si="230"/>
        <v>0.38413750556398496</v>
      </c>
      <c r="U497" s="331">
        <f t="shared" si="231"/>
        <v>-5.3277949614837468</v>
      </c>
      <c r="V497" s="332">
        <f t="shared" si="232"/>
        <v>-147.70389573454744</v>
      </c>
      <c r="W497" s="334">
        <f t="shared" si="233"/>
        <v>32.296104265452556</v>
      </c>
      <c r="Y497" s="307">
        <f t="shared" si="234"/>
        <v>63096</v>
      </c>
      <c r="Z497" s="307">
        <f t="shared" si="235"/>
        <v>3981105216</v>
      </c>
      <c r="AB497" s="333">
        <f t="shared" si="236"/>
        <v>33.491422784258262</v>
      </c>
      <c r="AC497" s="334">
        <f t="shared" si="237"/>
        <v>-33.636428521079829</v>
      </c>
      <c r="AE497" s="333">
        <f t="shared" si="238"/>
        <v>-13.567538046554947</v>
      </c>
      <c r="AF497" s="334">
        <f t="shared" si="239"/>
        <v>-102.5723408073728</v>
      </c>
      <c r="AH497">
        <f t="shared" si="240"/>
        <v>0</v>
      </c>
      <c r="AI497">
        <f t="shared" si="245"/>
        <v>0</v>
      </c>
    </row>
    <row r="498" spans="1:35" x14ac:dyDescent="0.25">
      <c r="A498" s="335">
        <v>63463.25</v>
      </c>
      <c r="B498" s="352">
        <f t="shared" si="241"/>
        <v>63.463250000000002</v>
      </c>
      <c r="C498" s="325">
        <f t="shared" si="216"/>
        <v>135.17830787981438</v>
      </c>
      <c r="D498" s="326">
        <f t="shared" si="217"/>
        <v>1.5633986227050389</v>
      </c>
      <c r="E498" s="326">
        <f t="shared" si="218"/>
        <v>1.0126403228546887</v>
      </c>
      <c r="F498" s="327">
        <f t="shared" si="219"/>
        <v>0.1581682349981989</v>
      </c>
      <c r="G498" s="326">
        <f t="shared" si="220"/>
        <v>1</v>
      </c>
      <c r="H498" s="327">
        <f t="shared" si="221"/>
        <v>0</v>
      </c>
      <c r="I498" s="325">
        <f t="shared" si="222"/>
        <v>20941.283387922911</v>
      </c>
      <c r="J498" s="328">
        <f t="shared" si="223"/>
        <v>1.5707485742296954</v>
      </c>
      <c r="K498" s="336">
        <f t="shared" si="243"/>
        <v>14.845735994593946</v>
      </c>
      <c r="L498" s="337">
        <f t="shared" si="244"/>
        <v>1.5033858754999909</v>
      </c>
      <c r="M498" s="325">
        <f t="shared" si="224"/>
        <v>1.153515757272926</v>
      </c>
      <c r="N498" s="337">
        <f t="shared" si="225"/>
        <v>0.52181702835160015</v>
      </c>
      <c r="O498" s="343">
        <f t="shared" si="226"/>
        <v>1.0658328099968186</v>
      </c>
      <c r="P498" s="691">
        <f t="shared" si="227"/>
        <v>0.35330746257527684</v>
      </c>
      <c r="Q498" s="336">
        <f t="shared" si="242"/>
        <v>4.8820633568281888</v>
      </c>
      <c r="R498" s="692">
        <f t="shared" si="228"/>
        <v>0.55465825402530433</v>
      </c>
      <c r="S498" s="329">
        <f t="shared" si="229"/>
        <v>0.97399257433017028</v>
      </c>
      <c r="T498" s="330">
        <f t="shared" si="230"/>
        <v>0.3865949980001494</v>
      </c>
      <c r="U498" s="331">
        <f t="shared" si="231"/>
        <v>-5.3952538409308364</v>
      </c>
      <c r="V498" s="332">
        <f t="shared" si="232"/>
        <v>-147.95809468261194</v>
      </c>
      <c r="W498" s="334">
        <f t="shared" si="233"/>
        <v>32.041905317388057</v>
      </c>
      <c r="Y498" s="307">
        <f t="shared" si="234"/>
        <v>63463.25</v>
      </c>
      <c r="Z498" s="307">
        <f t="shared" si="235"/>
        <v>4027584100.5625</v>
      </c>
      <c r="AB498" s="333">
        <f t="shared" si="236"/>
        <v>33.47872255545311</v>
      </c>
      <c r="AC498" s="334">
        <f t="shared" si="237"/>
        <v>-33.757511775002023</v>
      </c>
      <c r="AE498" s="333">
        <f t="shared" si="238"/>
        <v>-13.614490050349337</v>
      </c>
      <c r="AF498" s="334">
        <f t="shared" si="239"/>
        <v>-102.66403234272209</v>
      </c>
      <c r="AH498">
        <f t="shared" si="240"/>
        <v>0</v>
      </c>
      <c r="AI498">
        <f t="shared" si="245"/>
        <v>0</v>
      </c>
    </row>
    <row r="499" spans="1:35" x14ac:dyDescent="0.25">
      <c r="A499" s="335">
        <v>63830.5</v>
      </c>
      <c r="B499" s="352">
        <f t="shared" si="241"/>
        <v>63.830500000000001</v>
      </c>
      <c r="C499" s="325">
        <f t="shared" si="216"/>
        <v>135.96051686851126</v>
      </c>
      <c r="D499" s="326">
        <f t="shared" si="217"/>
        <v>1.5634411839972395</v>
      </c>
      <c r="E499" s="326">
        <f t="shared" si="218"/>
        <v>1.0127861143294823</v>
      </c>
      <c r="F499" s="327">
        <f t="shared" si="219"/>
        <v>0.15906820652004894</v>
      </c>
      <c r="G499" s="326">
        <f t="shared" si="220"/>
        <v>1</v>
      </c>
      <c r="H499" s="327">
        <f t="shared" si="221"/>
        <v>0</v>
      </c>
      <c r="I499" s="325">
        <f t="shared" si="222"/>
        <v>21062.46669175195</v>
      </c>
      <c r="J499" s="328">
        <f t="shared" si="223"/>
        <v>1.5707488489749901</v>
      </c>
      <c r="K499" s="336">
        <f t="shared" si="243"/>
        <v>14.931256821917135</v>
      </c>
      <c r="L499" s="337">
        <f t="shared" si="244"/>
        <v>1.5037725589982327</v>
      </c>
      <c r="M499" s="325">
        <f t="shared" si="224"/>
        <v>1.155177864268853</v>
      </c>
      <c r="N499" s="337">
        <f t="shared" si="225"/>
        <v>0.52431402559965734</v>
      </c>
      <c r="O499" s="343">
        <f t="shared" si="226"/>
        <v>1.0665730830774336</v>
      </c>
      <c r="P499" s="691">
        <f t="shared" si="227"/>
        <v>0.35518474160122993</v>
      </c>
      <c r="Q499" s="336">
        <f t="shared" si="242"/>
        <v>4.8898524323305832</v>
      </c>
      <c r="R499" s="692">
        <f t="shared" si="228"/>
        <v>0.55725289529767874</v>
      </c>
      <c r="S499" s="329">
        <f t="shared" si="229"/>
        <v>0.97374440103659232</v>
      </c>
      <c r="T499" s="330">
        <f t="shared" si="230"/>
        <v>0.38905628119445074</v>
      </c>
      <c r="U499" s="331">
        <f t="shared" si="231"/>
        <v>-5.462454779929562</v>
      </c>
      <c r="V499" s="332">
        <f t="shared" si="232"/>
        <v>-148.21201947681243</v>
      </c>
      <c r="W499" s="334">
        <f t="shared" si="233"/>
        <v>31.787980523187571</v>
      </c>
      <c r="Y499" s="307">
        <f t="shared" si="234"/>
        <v>63830.5</v>
      </c>
      <c r="Z499" s="307">
        <f t="shared" si="235"/>
        <v>4074332730.25</v>
      </c>
      <c r="AB499" s="333">
        <f t="shared" si="236"/>
        <v>33.465989917076918</v>
      </c>
      <c r="AC499" s="334">
        <f t="shared" si="237"/>
        <v>-33.87843958819888</v>
      </c>
      <c r="AE499" s="333">
        <f t="shared" si="238"/>
        <v>-13.66114219521287</v>
      </c>
      <c r="AF499" s="334">
        <f t="shared" si="239"/>
        <v>-102.7559274945768</v>
      </c>
      <c r="AH499">
        <f t="shared" si="240"/>
        <v>0</v>
      </c>
      <c r="AI499">
        <f t="shared" si="245"/>
        <v>0</v>
      </c>
    </row>
    <row r="500" spans="1:35" x14ac:dyDescent="0.25">
      <c r="A500" s="335">
        <v>64197.75</v>
      </c>
      <c r="B500" s="352">
        <f t="shared" si="241"/>
        <v>64.197749999999999</v>
      </c>
      <c r="C500" s="325">
        <f t="shared" si="216"/>
        <v>136.742726100678</v>
      </c>
      <c r="D500" s="326">
        <f t="shared" si="217"/>
        <v>1.5634832583629104</v>
      </c>
      <c r="E500" s="326">
        <f t="shared" si="218"/>
        <v>1.0129327258725924</v>
      </c>
      <c r="F500" s="327">
        <f t="shared" si="219"/>
        <v>0.15996791824729137</v>
      </c>
      <c r="G500" s="326">
        <f t="shared" si="220"/>
        <v>1</v>
      </c>
      <c r="H500" s="327">
        <f t="shared" si="221"/>
        <v>0</v>
      </c>
      <c r="I500" s="325">
        <f t="shared" si="222"/>
        <v>21183.649995582553</v>
      </c>
      <c r="J500" s="328">
        <f t="shared" si="223"/>
        <v>1.5707491205768662</v>
      </c>
      <c r="K500" s="336">
        <f t="shared" si="243"/>
        <v>15.016779856394082</v>
      </c>
      <c r="L500" s="337">
        <f t="shared" si="244"/>
        <v>1.5041548381006782</v>
      </c>
      <c r="M500" s="325">
        <f t="shared" si="224"/>
        <v>1.1568471530705808</v>
      </c>
      <c r="N500" s="337">
        <f t="shared" si="225"/>
        <v>0.52680383218010496</v>
      </c>
      <c r="O500" s="343">
        <f t="shared" si="226"/>
        <v>1.0673171097280978</v>
      </c>
      <c r="P500" s="691">
        <f t="shared" si="227"/>
        <v>0.3570594099241457</v>
      </c>
      <c r="Q500" s="336">
        <f t="shared" si="242"/>
        <v>4.8976739580064548</v>
      </c>
      <c r="R500" s="692">
        <f t="shared" si="228"/>
        <v>0.55983931294344569</v>
      </c>
      <c r="S500" s="329">
        <f t="shared" si="229"/>
        <v>0.97349606957852985</v>
      </c>
      <c r="T500" s="330">
        <f t="shared" si="230"/>
        <v>0.39152137424822375</v>
      </c>
      <c r="U500" s="331">
        <f t="shared" si="231"/>
        <v>-5.5294006357123182</v>
      </c>
      <c r="V500" s="332">
        <f t="shared" si="232"/>
        <v>-148.4656681276289</v>
      </c>
      <c r="W500" s="334">
        <f t="shared" si="233"/>
        <v>31.534331872371098</v>
      </c>
      <c r="Y500" s="307">
        <f t="shared" si="234"/>
        <v>64197.75</v>
      </c>
      <c r="Z500" s="307">
        <f t="shared" si="235"/>
        <v>4121351105.0625</v>
      </c>
      <c r="AB500" s="333">
        <f t="shared" si="236"/>
        <v>33.453225195404727</v>
      </c>
      <c r="AC500" s="334">
        <f t="shared" si="237"/>
        <v>-33.999207579675478</v>
      </c>
      <c r="AE500" s="333">
        <f t="shared" si="238"/>
        <v>-13.707498025637111</v>
      </c>
      <c r="AF500" s="334">
        <f t="shared" si="239"/>
        <v>-102.84802792159947</v>
      </c>
      <c r="AH500">
        <f t="shared" si="240"/>
        <v>0</v>
      </c>
      <c r="AI500">
        <f t="shared" si="245"/>
        <v>0</v>
      </c>
    </row>
    <row r="501" spans="1:35" x14ac:dyDescent="0.25">
      <c r="A501" s="335">
        <v>64565</v>
      </c>
      <c r="B501" s="352">
        <f t="shared" si="241"/>
        <v>64.564999999999998</v>
      </c>
      <c r="C501" s="325">
        <f t="shared" si="216"/>
        <v>137.52493557216022</v>
      </c>
      <c r="D501" s="326">
        <f t="shared" si="217"/>
        <v>1.5635248541104723</v>
      </c>
      <c r="E501" s="326">
        <f t="shared" si="218"/>
        <v>1.0130801571279819</v>
      </c>
      <c r="F501" s="327">
        <f t="shared" si="219"/>
        <v>0.16086736883643574</v>
      </c>
      <c r="G501" s="326">
        <f t="shared" si="220"/>
        <v>1</v>
      </c>
      <c r="H501" s="327">
        <f t="shared" si="221"/>
        <v>0</v>
      </c>
      <c r="I501" s="325">
        <f t="shared" si="222"/>
        <v>21304.833299414706</v>
      </c>
      <c r="J501" s="328">
        <f t="shared" si="223"/>
        <v>1.5707493890889632</v>
      </c>
      <c r="K501" s="336">
        <f t="shared" si="243"/>
        <v>15.102305060528032</v>
      </c>
      <c r="L501" s="337">
        <f t="shared" si="244"/>
        <v>1.5045327875216612</v>
      </c>
      <c r="M501" s="325">
        <f t="shared" si="224"/>
        <v>1.1585235926338358</v>
      </c>
      <c r="N501" s="337">
        <f t="shared" si="225"/>
        <v>0.529286448372984</v>
      </c>
      <c r="O501" s="343">
        <f t="shared" si="226"/>
        <v>1.0680648821044669</v>
      </c>
      <c r="P501" s="691">
        <f t="shared" si="227"/>
        <v>0.35893145983717234</v>
      </c>
      <c r="Q501" s="336">
        <f t="shared" si="242"/>
        <v>4.9055277786568157</v>
      </c>
      <c r="R501" s="692">
        <f t="shared" si="228"/>
        <v>0.56241751235408743</v>
      </c>
      <c r="S501" s="329">
        <f t="shared" si="229"/>
        <v>0.97324760292920875</v>
      </c>
      <c r="T501" s="330">
        <f t="shared" si="230"/>
        <v>0.39399029617773834</v>
      </c>
      <c r="U501" s="331">
        <f t="shared" si="231"/>
        <v>-5.5960942120987305</v>
      </c>
      <c r="V501" s="332">
        <f t="shared" si="232"/>
        <v>-148.71903876640903</v>
      </c>
      <c r="W501" s="334">
        <f t="shared" si="233"/>
        <v>31.280961233590972</v>
      </c>
      <c r="Y501" s="307">
        <f t="shared" si="234"/>
        <v>64565</v>
      </c>
      <c r="Z501" s="307">
        <f t="shared" si="235"/>
        <v>4168639225</v>
      </c>
      <c r="AB501" s="333">
        <f t="shared" si="236"/>
        <v>33.440428717442863</v>
      </c>
      <c r="AC501" s="334">
        <f t="shared" si="237"/>
        <v>-34.119811487734232</v>
      </c>
      <c r="AE501" s="333">
        <f t="shared" si="238"/>
        <v>-13.753561030653854</v>
      </c>
      <c r="AF501" s="334">
        <f t="shared" si="239"/>
        <v>-102.94033526635589</v>
      </c>
      <c r="AH501">
        <f t="shared" si="240"/>
        <v>0</v>
      </c>
      <c r="AI501">
        <f t="shared" si="245"/>
        <v>0</v>
      </c>
    </row>
    <row r="502" spans="1:35" x14ac:dyDescent="0.25">
      <c r="A502" s="335">
        <v>64941</v>
      </c>
      <c r="B502" s="352">
        <f t="shared" si="241"/>
        <v>64.941000000000003</v>
      </c>
      <c r="C502" s="325">
        <f t="shared" si="216"/>
        <v>138.32578200041047</v>
      </c>
      <c r="D502" s="326">
        <f t="shared" si="217"/>
        <v>1.5635669535267247</v>
      </c>
      <c r="E502" s="326">
        <f t="shared" si="218"/>
        <v>1.0132319499075628</v>
      </c>
      <c r="F502" s="327">
        <f t="shared" si="219"/>
        <v>0.16178797754880261</v>
      </c>
      <c r="G502" s="326">
        <f t="shared" si="220"/>
        <v>1</v>
      </c>
      <c r="H502" s="327">
        <f t="shared" si="221"/>
        <v>0</v>
      </c>
      <c r="I502" s="325">
        <f t="shared" si="222"/>
        <v>21428.903884143001</v>
      </c>
      <c r="J502" s="328">
        <f t="shared" si="223"/>
        <v>1.5707496608522162</v>
      </c>
      <c r="K502" s="336">
        <f t="shared" si="243"/>
        <v>15.189870174780429</v>
      </c>
      <c r="L502" s="337">
        <f t="shared" si="244"/>
        <v>1.5049153324751456</v>
      </c>
      <c r="M502" s="325">
        <f t="shared" si="224"/>
        <v>1.1602473505770274</v>
      </c>
      <c r="N502" s="337">
        <f t="shared" si="225"/>
        <v>0.53182076597375227</v>
      </c>
      <c r="O502" s="343">
        <f t="shared" si="226"/>
        <v>1.0688343431509404</v>
      </c>
      <c r="P502" s="691">
        <f t="shared" si="227"/>
        <v>0.36084539202977911</v>
      </c>
      <c r="Q502" s="336">
        <f t="shared" si="242"/>
        <v>4.9136020189543288</v>
      </c>
      <c r="R502" s="692">
        <f t="shared" si="228"/>
        <v>0.56504863102427716</v>
      </c>
      <c r="S502" s="329">
        <f t="shared" si="229"/>
        <v>0.97299310047256571</v>
      </c>
      <c r="T502" s="330">
        <f t="shared" si="230"/>
        <v>0.39652202854686147</v>
      </c>
      <c r="U502" s="331">
        <f t="shared" si="231"/>
        <v>-5.6641183179114769</v>
      </c>
      <c r="V502" s="332">
        <f t="shared" si="232"/>
        <v>-148.97815629171996</v>
      </c>
      <c r="W502" s="334">
        <f t="shared" si="233"/>
        <v>31.021843708280045</v>
      </c>
      <c r="Y502" s="307">
        <f t="shared" si="234"/>
        <v>64941</v>
      </c>
      <c r="Z502" s="307">
        <f t="shared" si="235"/>
        <v>4217333481</v>
      </c>
      <c r="AB502" s="333">
        <f t="shared" si="236"/>
        <v>33.427294795934124</v>
      </c>
      <c r="AC502" s="334">
        <f t="shared" si="237"/>
        <v>-34.243114549923611</v>
      </c>
      <c r="AE502" s="333">
        <f t="shared" si="238"/>
        <v>-13.800421733318299</v>
      </c>
      <c r="AF502" s="334">
        <f t="shared" si="239"/>
        <v>-103.03505797114117</v>
      </c>
      <c r="AH502">
        <f t="shared" si="240"/>
        <v>0</v>
      </c>
      <c r="AI502">
        <f t="shared" si="245"/>
        <v>0</v>
      </c>
    </row>
    <row r="503" spans="1:35" x14ac:dyDescent="0.25">
      <c r="A503" s="335">
        <v>65317</v>
      </c>
      <c r="B503" s="352">
        <f t="shared" si="241"/>
        <v>65.316999999999993</v>
      </c>
      <c r="C503" s="325">
        <f t="shared" si="216"/>
        <v>139.1266286710015</v>
      </c>
      <c r="D503" s="326">
        <f t="shared" si="217"/>
        <v>1.563608568274117</v>
      </c>
      <c r="E503" s="326">
        <f t="shared" si="218"/>
        <v>1.013384601164212</v>
      </c>
      <c r="F503" s="327">
        <f t="shared" si="219"/>
        <v>0.16270830968906547</v>
      </c>
      <c r="G503" s="326">
        <f t="shared" si="220"/>
        <v>1</v>
      </c>
      <c r="H503" s="327">
        <f t="shared" si="221"/>
        <v>0</v>
      </c>
      <c r="I503" s="325">
        <f t="shared" si="222"/>
        <v>21552.974468872864</v>
      </c>
      <c r="J503" s="328">
        <f t="shared" si="223"/>
        <v>1.5707499294866363</v>
      </c>
      <c r="K503" s="336">
        <f t="shared" si="243"/>
        <v>15.277437486446209</v>
      </c>
      <c r="L503" s="337">
        <f t="shared" si="244"/>
        <v>1.5052934921363323</v>
      </c>
      <c r="M503" s="325">
        <f t="shared" si="224"/>
        <v>1.1619785383796382</v>
      </c>
      <c r="N503" s="337">
        <f t="shared" si="225"/>
        <v>0.53434754819569341</v>
      </c>
      <c r="O503" s="343">
        <f t="shared" si="226"/>
        <v>1.0696077138418769</v>
      </c>
      <c r="P503" s="691">
        <f t="shared" si="227"/>
        <v>0.36275656351031393</v>
      </c>
      <c r="Q503" s="336">
        <f t="shared" si="242"/>
        <v>4.9217097833643422</v>
      </c>
      <c r="R503" s="692">
        <f t="shared" si="228"/>
        <v>0.56767114789177908</v>
      </c>
      <c r="S503" s="329">
        <f t="shared" si="229"/>
        <v>0.97273850554258801</v>
      </c>
      <c r="T503" s="330">
        <f t="shared" si="230"/>
        <v>0.39905781447823285</v>
      </c>
      <c r="U503" s="331">
        <f t="shared" si="231"/>
        <v>-5.731883762220864</v>
      </c>
      <c r="V503" s="332">
        <f t="shared" si="232"/>
        <v>-149.23697881020138</v>
      </c>
      <c r="W503" s="334">
        <f t="shared" si="233"/>
        <v>30.763021189798621</v>
      </c>
      <c r="Y503" s="307">
        <f t="shared" si="234"/>
        <v>65317</v>
      </c>
      <c r="Z503" s="307">
        <f t="shared" si="235"/>
        <v>4266310489</v>
      </c>
      <c r="AB503" s="333">
        <f t="shared" si="236"/>
        <v>33.4141282824881</v>
      </c>
      <c r="AC503" s="334">
        <f t="shared" si="237"/>
        <v>-34.366236946180642</v>
      </c>
      <c r="AE503" s="333">
        <f t="shared" si="238"/>
        <v>-13.84698271991569</v>
      </c>
      <c r="AF503" s="334">
        <f t="shared" si="239"/>
        <v>-103.13000100486967</v>
      </c>
      <c r="AH503">
        <f t="shared" si="240"/>
        <v>0</v>
      </c>
      <c r="AI503">
        <f t="shared" si="245"/>
        <v>0</v>
      </c>
    </row>
    <row r="504" spans="1:35" x14ac:dyDescent="0.25">
      <c r="A504" s="335">
        <v>65693</v>
      </c>
      <c r="B504" s="352">
        <f t="shared" si="241"/>
        <v>65.692999999999998</v>
      </c>
      <c r="C504" s="325">
        <f t="shared" si="216"/>
        <v>139.92747557977228</v>
      </c>
      <c r="D504" s="326">
        <f t="shared" si="217"/>
        <v>1.5636497066742199</v>
      </c>
      <c r="E504" s="326">
        <f t="shared" si="218"/>
        <v>1.0135381105100376</v>
      </c>
      <c r="F504" s="327">
        <f t="shared" si="219"/>
        <v>0.16362836382348017</v>
      </c>
      <c r="G504" s="326">
        <f t="shared" si="220"/>
        <v>1</v>
      </c>
      <c r="H504" s="327">
        <f t="shared" si="221"/>
        <v>0</v>
      </c>
      <c r="I504" s="325">
        <f t="shared" si="222"/>
        <v>21677.045053604263</v>
      </c>
      <c r="J504" s="328">
        <f t="shared" si="223"/>
        <v>1.5707501950459484</v>
      </c>
      <c r="K504" s="336">
        <f t="shared" si="243"/>
        <v>15.365006957955281</v>
      </c>
      <c r="L504" s="337">
        <f t="shared" si="244"/>
        <v>1.5056673413751502</v>
      </c>
      <c r="M504" s="325">
        <f t="shared" si="224"/>
        <v>1.1637171228828835</v>
      </c>
      <c r="N504" s="337">
        <f t="shared" si="225"/>
        <v>0.53686679647542501</v>
      </c>
      <c r="O504" s="343">
        <f t="shared" si="226"/>
        <v>1.0703849857029306</v>
      </c>
      <c r="P504" s="691">
        <f t="shared" si="227"/>
        <v>0.364664966316529</v>
      </c>
      <c r="Q504" s="336">
        <f t="shared" si="242"/>
        <v>4.929850906504317</v>
      </c>
      <c r="R504" s="692">
        <f t="shared" si="228"/>
        <v>0.570285070019522</v>
      </c>
      <c r="S504" s="329">
        <f t="shared" si="229"/>
        <v>0.97248384330275683</v>
      </c>
      <c r="T504" s="330">
        <f t="shared" si="230"/>
        <v>0.40159767409257091</v>
      </c>
      <c r="U504" s="331">
        <f t="shared" si="231"/>
        <v>-5.7993933891937264</v>
      </c>
      <c r="V504" s="332">
        <f t="shared" si="232"/>
        <v>-149.49550469016239</v>
      </c>
      <c r="W504" s="334">
        <f t="shared" si="233"/>
        <v>30.504495309837608</v>
      </c>
      <c r="Y504" s="307">
        <f t="shared" si="234"/>
        <v>65693</v>
      </c>
      <c r="Z504" s="307">
        <f t="shared" si="235"/>
        <v>4315570249</v>
      </c>
      <c r="AB504" s="333">
        <f t="shared" si="236"/>
        <v>33.400929529751288</v>
      </c>
      <c r="AC504" s="334">
        <f t="shared" si="237"/>
        <v>-34.489174472164684</v>
      </c>
      <c r="AE504" s="333">
        <f t="shared" si="238"/>
        <v>-13.893247562554986</v>
      </c>
      <c r="AF504" s="334">
        <f t="shared" si="239"/>
        <v>-103.22516607931199</v>
      </c>
      <c r="AH504">
        <f t="shared" si="240"/>
        <v>0</v>
      </c>
      <c r="AI504">
        <f t="shared" si="245"/>
        <v>0</v>
      </c>
    </row>
    <row r="505" spans="1:35" x14ac:dyDescent="0.25">
      <c r="A505" s="335">
        <v>66069</v>
      </c>
      <c r="B505" s="352">
        <f t="shared" si="241"/>
        <v>66.069000000000003</v>
      </c>
      <c r="C505" s="325">
        <f t="shared" si="216"/>
        <v>140.72832272265666</v>
      </c>
      <c r="D505" s="326">
        <f t="shared" si="217"/>
        <v>1.5636903768591865</v>
      </c>
      <c r="E505" s="326">
        <f t="shared" si="218"/>
        <v>1.0136924775552034</v>
      </c>
      <c r="F505" s="327">
        <f t="shared" si="219"/>
        <v>0.16454813852105127</v>
      </c>
      <c r="G505" s="326">
        <f t="shared" si="220"/>
        <v>1</v>
      </c>
      <c r="H505" s="327">
        <f t="shared" si="221"/>
        <v>0</v>
      </c>
      <c r="I505" s="325">
        <f t="shared" si="222"/>
        <v>21801.115638337174</v>
      </c>
      <c r="J505" s="328">
        <f t="shared" si="223"/>
        <v>1.5707504575826536</v>
      </c>
      <c r="K505" s="336">
        <f t="shared" si="243"/>
        <v>15.452578552588271</v>
      </c>
      <c r="L505" s="337">
        <f t="shared" si="244"/>
        <v>1.5060369533692235</v>
      </c>
      <c r="M505" s="325">
        <f t="shared" si="224"/>
        <v>1.165463070984585</v>
      </c>
      <c r="N505" s="337">
        <f t="shared" si="225"/>
        <v>0.53937851262352832</v>
      </c>
      <c r="O505" s="343">
        <f t="shared" si="226"/>
        <v>1.0711661502416661</v>
      </c>
      <c r="P505" s="691">
        <f t="shared" si="227"/>
        <v>0.36657059258989644</v>
      </c>
      <c r="Q505" s="336">
        <f t="shared" si="242"/>
        <v>4.9380252234041651</v>
      </c>
      <c r="R505" s="692">
        <f t="shared" si="228"/>
        <v>0.57289040488842402</v>
      </c>
      <c r="S505" s="329">
        <f t="shared" si="229"/>
        <v>0.97222913908862951</v>
      </c>
      <c r="T505" s="330">
        <f t="shared" si="230"/>
        <v>0.40414162741010645</v>
      </c>
      <c r="U505" s="331">
        <f t="shared" si="231"/>
        <v>-5.866649990336823</v>
      </c>
      <c r="V505" s="332">
        <f t="shared" si="232"/>
        <v>-149.75373241946917</v>
      </c>
      <c r="W505" s="334">
        <f t="shared" si="233"/>
        <v>30.246267580530827</v>
      </c>
      <c r="Y505" s="307">
        <f t="shared" si="234"/>
        <v>66069</v>
      </c>
      <c r="Z505" s="307">
        <f t="shared" si="235"/>
        <v>4365112761</v>
      </c>
      <c r="AB505" s="333">
        <f t="shared" si="236"/>
        <v>33.387698890730213</v>
      </c>
      <c r="AC505" s="334">
        <f t="shared" si="237"/>
        <v>-34.61192304185348</v>
      </c>
      <c r="AE505" s="333">
        <f t="shared" si="238"/>
        <v>-13.939219777943006</v>
      </c>
      <c r="AF505" s="334">
        <f t="shared" si="239"/>
        <v>-103.32055488947094</v>
      </c>
      <c r="AH505">
        <f t="shared" si="240"/>
        <v>0</v>
      </c>
      <c r="AI505">
        <f t="shared" si="245"/>
        <v>0</v>
      </c>
    </row>
    <row r="506" spans="1:35" x14ac:dyDescent="0.25">
      <c r="A506" s="335">
        <v>66453.75</v>
      </c>
      <c r="B506" s="352">
        <f t="shared" si="241"/>
        <v>66.453749999999999</v>
      </c>
      <c r="C506" s="325">
        <f t="shared" si="216"/>
        <v>141.54780683911775</v>
      </c>
      <c r="D506" s="326">
        <f t="shared" si="217"/>
        <v>1.5637315170958357</v>
      </c>
      <c r="E506" s="326">
        <f t="shared" si="218"/>
        <v>1.0138513243810816</v>
      </c>
      <c r="F506" s="327">
        <f t="shared" si="219"/>
        <v>0.16548902679329971</v>
      </c>
      <c r="G506" s="326">
        <f t="shared" si="220"/>
        <v>1</v>
      </c>
      <c r="H506" s="327">
        <f t="shared" si="221"/>
        <v>0</v>
      </c>
      <c r="I506" s="325">
        <f t="shared" si="222"/>
        <v>21928.073503966334</v>
      </c>
      <c r="J506" s="328">
        <f t="shared" si="223"/>
        <v>1.5707507231535112</v>
      </c>
      <c r="K506" s="336">
        <f t="shared" si="243"/>
        <v>15.54219021039391</v>
      </c>
      <c r="L506" s="337">
        <f t="shared" si="244"/>
        <v>1.5064108550188196</v>
      </c>
      <c r="M506" s="325">
        <f t="shared" si="224"/>
        <v>1.1672572376890411</v>
      </c>
      <c r="N506" s="337">
        <f t="shared" si="225"/>
        <v>0.54194088479453806</v>
      </c>
      <c r="O506" s="343">
        <f t="shared" si="226"/>
        <v>1.0719695142115844</v>
      </c>
      <c r="P506" s="691">
        <f t="shared" si="227"/>
        <v>0.36851768292503173</v>
      </c>
      <c r="Q506" s="336">
        <f t="shared" si="242"/>
        <v>4.9464239568761261</v>
      </c>
      <c r="R506" s="692">
        <f t="shared" si="228"/>
        <v>0.57554748812296275</v>
      </c>
      <c r="S506" s="329">
        <f t="shared" si="229"/>
        <v>0.97196849074248759</v>
      </c>
      <c r="T506" s="330">
        <f t="shared" si="230"/>
        <v>0.40674904025705566</v>
      </c>
      <c r="U506" s="331">
        <f t="shared" si="231"/>
        <v>-5.9352126701114818</v>
      </c>
      <c r="V506" s="332">
        <f t="shared" si="232"/>
        <v>-150.01765934345923</v>
      </c>
      <c r="W506" s="334">
        <f t="shared" si="233"/>
        <v>29.982340656540771</v>
      </c>
      <c r="Y506" s="307">
        <f t="shared" si="234"/>
        <v>66453.75</v>
      </c>
      <c r="Z506" s="307">
        <f t="shared" si="235"/>
        <v>4416100889.0625</v>
      </c>
      <c r="AB506" s="333">
        <f t="shared" si="236"/>
        <v>33.374127718408388</v>
      </c>
      <c r="AC506" s="334">
        <f t="shared" si="237"/>
        <v>-34.737328382551858</v>
      </c>
      <c r="AE506" s="333">
        <f t="shared" si="238"/>
        <v>-13.985962516165156</v>
      </c>
      <c r="AF506" s="334">
        <f t="shared" si="239"/>
        <v>-103.4183968760961</v>
      </c>
      <c r="AH506">
        <f t="shared" si="240"/>
        <v>0</v>
      </c>
      <c r="AI506">
        <f t="shared" si="245"/>
        <v>0</v>
      </c>
    </row>
    <row r="507" spans="1:35" x14ac:dyDescent="0.25">
      <c r="A507" s="335">
        <v>66838.5</v>
      </c>
      <c r="B507" s="352">
        <f t="shared" si="241"/>
        <v>66.838499999999996</v>
      </c>
      <c r="C507" s="325">
        <f t="shared" si="216"/>
        <v>142.36729119239314</v>
      </c>
      <c r="D507" s="326">
        <f t="shared" si="217"/>
        <v>1.5637721837156158</v>
      </c>
      <c r="E507" s="326">
        <f t="shared" si="218"/>
        <v>1.0140110684582089</v>
      </c>
      <c r="F507" s="327">
        <f t="shared" si="219"/>
        <v>0.16642961944892029</v>
      </c>
      <c r="G507" s="326">
        <f t="shared" si="220"/>
        <v>1</v>
      </c>
      <c r="H507" s="327">
        <f t="shared" si="221"/>
        <v>0</v>
      </c>
      <c r="I507" s="325">
        <f t="shared" si="222"/>
        <v>22055.031369597025</v>
      </c>
      <c r="J507" s="328">
        <f t="shared" si="223"/>
        <v>1.570750985666898</v>
      </c>
      <c r="K507" s="336">
        <f t="shared" si="243"/>
        <v>15.631804016123324</v>
      </c>
      <c r="L507" s="337">
        <f t="shared" si="244"/>
        <v>1.5067804697224261</v>
      </c>
      <c r="M507" s="325">
        <f t="shared" si="224"/>
        <v>1.1690590447609464</v>
      </c>
      <c r="N507" s="337">
        <f t="shared" si="225"/>
        <v>0.54449537520521507</v>
      </c>
      <c r="O507" s="343">
        <f t="shared" si="226"/>
        <v>1.0727769360945159</v>
      </c>
      <c r="P507" s="691">
        <f t="shared" si="227"/>
        <v>0.37046184967986323</v>
      </c>
      <c r="Q507" s="336">
        <f t="shared" si="242"/>
        <v>4.954857098867091</v>
      </c>
      <c r="R507" s="692">
        <f t="shared" si="228"/>
        <v>0.57819559693689226</v>
      </c>
      <c r="S507" s="329">
        <f t="shared" si="229"/>
        <v>0.97170785267279935</v>
      </c>
      <c r="T507" s="330">
        <f t="shared" si="230"/>
        <v>0.40936078163899886</v>
      </c>
      <c r="U507" s="331">
        <f t="shared" si="231"/>
        <v>-6.0035161616577639</v>
      </c>
      <c r="V507" s="332">
        <f t="shared" si="232"/>
        <v>-150.28127124509086</v>
      </c>
      <c r="W507" s="334">
        <f t="shared" si="233"/>
        <v>29.718728754909137</v>
      </c>
      <c r="Y507" s="307">
        <f t="shared" si="234"/>
        <v>66838.5</v>
      </c>
      <c r="Z507" s="307">
        <f t="shared" si="235"/>
        <v>4467385082.25</v>
      </c>
      <c r="AB507" s="333">
        <f t="shared" si="236"/>
        <v>33.360523907041923</v>
      </c>
      <c r="AC507" s="334">
        <f t="shared" si="237"/>
        <v>-34.862527580379854</v>
      </c>
      <c r="AE507" s="333">
        <f t="shared" si="238"/>
        <v>-14.032406127230699</v>
      </c>
      <c r="AF507" s="334">
        <f t="shared" si="239"/>
        <v>-103.51647667084558</v>
      </c>
      <c r="AH507">
        <f t="shared" si="240"/>
        <v>0</v>
      </c>
      <c r="AI507">
        <f t="shared" si="245"/>
        <v>0</v>
      </c>
    </row>
    <row r="508" spans="1:35" x14ac:dyDescent="0.25">
      <c r="A508" s="335">
        <v>67223.25</v>
      </c>
      <c r="B508" s="352">
        <f t="shared" si="241"/>
        <v>67.223249999999993</v>
      </c>
      <c r="C508" s="325">
        <f t="shared" si="216"/>
        <v>143.18677577841692</v>
      </c>
      <c r="D508" s="326">
        <f t="shared" si="217"/>
        <v>1.5638123848501835</v>
      </c>
      <c r="E508" s="326">
        <f t="shared" si="218"/>
        <v>1.0141717093626019</v>
      </c>
      <c r="F508" s="327">
        <f t="shared" si="219"/>
        <v>0.16736991496368528</v>
      </c>
      <c r="G508" s="326">
        <f t="shared" si="220"/>
        <v>1</v>
      </c>
      <c r="H508" s="327">
        <f t="shared" si="221"/>
        <v>0</v>
      </c>
      <c r="I508" s="325">
        <f t="shared" si="222"/>
        <v>22181.989235229215</v>
      </c>
      <c r="J508" s="328">
        <f t="shared" si="223"/>
        <v>1.5707512451753118</v>
      </c>
      <c r="K508" s="336">
        <f t="shared" si="243"/>
        <v>15.721419933046317</v>
      </c>
      <c r="L508" s="337">
        <f t="shared" si="244"/>
        <v>1.5071458706880836</v>
      </c>
      <c r="M508" s="325">
        <f t="shared" si="224"/>
        <v>1.1708684569278462</v>
      </c>
      <c r="N508" s="337">
        <f t="shared" si="225"/>
        <v>0.54704198698116224</v>
      </c>
      <c r="O508" s="343">
        <f t="shared" si="226"/>
        <v>1.0735884067348631</v>
      </c>
      <c r="P508" s="691">
        <f t="shared" si="227"/>
        <v>0.37240308477023182</v>
      </c>
      <c r="Q508" s="336">
        <f t="shared" si="242"/>
        <v>4.9633244740107152</v>
      </c>
      <c r="R508" s="692">
        <f t="shared" si="228"/>
        <v>0.58083474066336083</v>
      </c>
      <c r="S508" s="329">
        <f t="shared" si="229"/>
        <v>0.97144725258647413</v>
      </c>
      <c r="T508" s="330">
        <f t="shared" si="230"/>
        <v>0.41197687266776928</v>
      </c>
      <c r="U508" s="331">
        <f t="shared" si="231"/>
        <v>-6.071563293809346</v>
      </c>
      <c r="V508" s="332">
        <f t="shared" si="232"/>
        <v>-150.54456687274259</v>
      </c>
      <c r="W508" s="334">
        <f t="shared" si="233"/>
        <v>29.455433127257407</v>
      </c>
      <c r="Y508" s="307">
        <f t="shared" si="234"/>
        <v>67223.25</v>
      </c>
      <c r="Z508" s="307">
        <f t="shared" si="235"/>
        <v>4518965340.5625</v>
      </c>
      <c r="AB508" s="333">
        <f t="shared" si="236"/>
        <v>33.346887835378979</v>
      </c>
      <c r="AC508" s="334">
        <f t="shared" si="237"/>
        <v>-34.987516622917461</v>
      </c>
      <c r="AE508" s="333">
        <f t="shared" si="238"/>
        <v>-14.078554207356488</v>
      </c>
      <c r="AF508" s="334">
        <f t="shared" si="239"/>
        <v>-103.61479603657976</v>
      </c>
      <c r="AH508">
        <f t="shared" si="240"/>
        <v>0</v>
      </c>
      <c r="AI508">
        <f t="shared" si="245"/>
        <v>0</v>
      </c>
    </row>
    <row r="509" spans="1:35" x14ac:dyDescent="0.25">
      <c r="A509" s="335">
        <v>67608</v>
      </c>
      <c r="B509" s="352">
        <f t="shared" si="241"/>
        <v>67.608000000000004</v>
      </c>
      <c r="C509" s="325">
        <f t="shared" si="216"/>
        <v>144.00626059321556</v>
      </c>
      <c r="D509" s="326">
        <f t="shared" si="217"/>
        <v>1.5638521284461055</v>
      </c>
      <c r="E509" s="326">
        <f t="shared" si="218"/>
        <v>1.0143332466681667</v>
      </c>
      <c r="F509" s="327">
        <f t="shared" si="219"/>
        <v>0.16830991181643165</v>
      </c>
      <c r="G509" s="326">
        <f t="shared" si="220"/>
        <v>1</v>
      </c>
      <c r="H509" s="327">
        <f t="shared" si="221"/>
        <v>0</v>
      </c>
      <c r="I509" s="325">
        <f t="shared" si="222"/>
        <v>22308.94710086289</v>
      </c>
      <c r="J509" s="328">
        <f t="shared" si="223"/>
        <v>1.5707515017300555</v>
      </c>
      <c r="K509" s="336">
        <f t="shared" si="243"/>
        <v>15.81103792526457</v>
      </c>
      <c r="L509" s="337">
        <f t="shared" si="244"/>
        <v>1.5075071294686013</v>
      </c>
      <c r="M509" s="325">
        <f t="shared" si="224"/>
        <v>1.172685438986564</v>
      </c>
      <c r="N509" s="337">
        <f t="shared" si="225"/>
        <v>0.54958072363748778</v>
      </c>
      <c r="O509" s="343">
        <f t="shared" si="226"/>
        <v>1.074403916958848</v>
      </c>
      <c r="P509" s="691">
        <f t="shared" si="227"/>
        <v>0.37434138022472074</v>
      </c>
      <c r="Q509" s="336">
        <f t="shared" si="242"/>
        <v>4.9718259074258855</v>
      </c>
      <c r="R509" s="692">
        <f t="shared" si="228"/>
        <v>0.58346492906586922</v>
      </c>
      <c r="S509" s="329">
        <f t="shared" si="229"/>
        <v>0.97118671838010451</v>
      </c>
      <c r="T509" s="330">
        <f t="shared" si="230"/>
        <v>0.41459733433676943</v>
      </c>
      <c r="U509" s="331">
        <f t="shared" si="231"/>
        <v>-6.1393568436682795</v>
      </c>
      <c r="V509" s="332">
        <f t="shared" si="232"/>
        <v>-150.80754509251094</v>
      </c>
      <c r="W509" s="334">
        <f t="shared" si="233"/>
        <v>29.192454907489065</v>
      </c>
      <c r="Y509" s="307">
        <f t="shared" si="234"/>
        <v>67608</v>
      </c>
      <c r="Z509" s="307">
        <f t="shared" si="235"/>
        <v>4570841664</v>
      </c>
      <c r="AB509" s="333">
        <f t="shared" si="236"/>
        <v>33.333219882135879</v>
      </c>
      <c r="AC509" s="334">
        <f t="shared" si="237"/>
        <v>-35.112291614830944</v>
      </c>
      <c r="AE509" s="333">
        <f t="shared" si="238"/>
        <v>-14.124410297553947</v>
      </c>
      <c r="AF509" s="334">
        <f t="shared" si="239"/>
        <v>-103.71335671859296</v>
      </c>
      <c r="AH509">
        <f t="shared" si="240"/>
        <v>0</v>
      </c>
      <c r="AI509">
        <f t="shared" si="245"/>
        <v>0</v>
      </c>
    </row>
    <row r="510" spans="1:35" x14ac:dyDescent="0.25">
      <c r="A510" s="335">
        <v>68001.75</v>
      </c>
      <c r="B510" s="352">
        <f t="shared" si="241"/>
        <v>68.001750000000001</v>
      </c>
      <c r="C510" s="325">
        <f t="shared" si="216"/>
        <v>144.84491487626116</v>
      </c>
      <c r="D510" s="326">
        <f t="shared" si="217"/>
        <v>1.5638923361019563</v>
      </c>
      <c r="E510" s="326">
        <f t="shared" si="218"/>
        <v>1.0144994902764328</v>
      </c>
      <c r="F510" s="327">
        <f t="shared" si="219"/>
        <v>0.16927158609254955</v>
      </c>
      <c r="G510" s="326">
        <f t="shared" si="220"/>
        <v>1</v>
      </c>
      <c r="H510" s="327">
        <f t="shared" si="221"/>
        <v>0</v>
      </c>
      <c r="I510" s="325">
        <f t="shared" si="222"/>
        <v>22438.874741132771</v>
      </c>
      <c r="J510" s="328">
        <f t="shared" si="223"/>
        <v>1.5707517612802766</v>
      </c>
      <c r="K510" s="336">
        <f t="shared" si="243"/>
        <v>15.90275435685748</v>
      </c>
      <c r="L510" s="337">
        <f t="shared" si="244"/>
        <v>1.5078726230610926</v>
      </c>
      <c r="M510" s="325">
        <f t="shared" si="224"/>
        <v>1.1745527244650114</v>
      </c>
      <c r="N510" s="337">
        <f t="shared" si="225"/>
        <v>0.55217069642358563</v>
      </c>
      <c r="O510" s="343">
        <f t="shared" si="226"/>
        <v>1.0752426762830998</v>
      </c>
      <c r="P510" s="691">
        <f t="shared" si="227"/>
        <v>0.37632196413890801</v>
      </c>
      <c r="Q510" s="336">
        <f t="shared" si="242"/>
        <v>4.980561285437763</v>
      </c>
      <c r="R510" s="692">
        <f t="shared" si="228"/>
        <v>0.58614738097924668</v>
      </c>
      <c r="S510" s="329">
        <f t="shared" si="229"/>
        <v>0.97092018732348495</v>
      </c>
      <c r="T510" s="330">
        <f t="shared" si="230"/>
        <v>0.41728364032520859</v>
      </c>
      <c r="U510" s="331">
        <f t="shared" si="231"/>
        <v>-6.2084765031791509</v>
      </c>
      <c r="V510" s="332">
        <f t="shared" si="232"/>
        <v>-151.07634515480234</v>
      </c>
      <c r="W510" s="334">
        <f t="shared" si="233"/>
        <v>28.92365484519766</v>
      </c>
      <c r="Y510" s="307">
        <f t="shared" si="234"/>
        <v>68001.75</v>
      </c>
      <c r="Z510" s="307">
        <f t="shared" si="235"/>
        <v>4624238003.0625</v>
      </c>
      <c r="AB510" s="333">
        <f t="shared" si="236"/>
        <v>33.319199596762893</v>
      </c>
      <c r="AC510" s="334">
        <f t="shared" si="237"/>
        <v>-35.23975975551717</v>
      </c>
      <c r="AE510" s="333">
        <f t="shared" si="238"/>
        <v>-14.171040368004119</v>
      </c>
      <c r="AF510" s="334">
        <f t="shared" si="239"/>
        <v>-103.81447456602329</v>
      </c>
      <c r="AH510">
        <f t="shared" si="240"/>
        <v>0</v>
      </c>
      <c r="AI510">
        <f t="shared" si="245"/>
        <v>0</v>
      </c>
    </row>
    <row r="511" spans="1:35" x14ac:dyDescent="0.25">
      <c r="A511" s="335">
        <v>68395.5</v>
      </c>
      <c r="B511" s="352">
        <f t="shared" si="241"/>
        <v>68.395499999999998</v>
      </c>
      <c r="C511" s="325">
        <f t="shared" si="216"/>
        <v>145.68356939077503</v>
      </c>
      <c r="D511" s="326">
        <f t="shared" si="217"/>
        <v>1.5639320808321995</v>
      </c>
      <c r="E511" s="326">
        <f t="shared" si="218"/>
        <v>1.0146666718035477</v>
      </c>
      <c r="F511" s="327">
        <f t="shared" si="219"/>
        <v>0.17023294435703185</v>
      </c>
      <c r="G511" s="326">
        <f t="shared" si="220"/>
        <v>1</v>
      </c>
      <c r="H511" s="327">
        <f t="shared" si="221"/>
        <v>0</v>
      </c>
      <c r="I511" s="325">
        <f t="shared" si="222"/>
        <v>22568.802381404141</v>
      </c>
      <c r="J511" s="328">
        <f t="shared" si="223"/>
        <v>1.5707520178420586</v>
      </c>
      <c r="K511" s="336">
        <f t="shared" si="243"/>
        <v>15.994472888465202</v>
      </c>
      <c r="L511" s="337">
        <f t="shared" si="244"/>
        <v>1.5082339249364147</v>
      </c>
      <c r="M511" s="325">
        <f t="shared" si="224"/>
        <v>1.176427863752824</v>
      </c>
      <c r="N511" s="337">
        <f t="shared" si="225"/>
        <v>0.55475243003058294</v>
      </c>
      <c r="O511" s="343">
        <f t="shared" si="226"/>
        <v>1.0760856468904785</v>
      </c>
      <c r="P511" s="691">
        <f t="shared" si="227"/>
        <v>0.37829945274966353</v>
      </c>
      <c r="Q511" s="336">
        <f t="shared" si="242"/>
        <v>4.989331964715479</v>
      </c>
      <c r="R511" s="692">
        <f t="shared" si="228"/>
        <v>0.58882047574681184</v>
      </c>
      <c r="S511" s="329">
        <f t="shared" si="229"/>
        <v>0.97065378499179422</v>
      </c>
      <c r="T511" s="330">
        <f t="shared" si="230"/>
        <v>0.41997456791900567</v>
      </c>
      <c r="U511" s="331">
        <f t="shared" si="231"/>
        <v>-6.2773363033546792</v>
      </c>
      <c r="V511" s="332">
        <f t="shared" si="232"/>
        <v>-151.34481074717272</v>
      </c>
      <c r="W511" s="334">
        <f t="shared" si="233"/>
        <v>28.655189252827284</v>
      </c>
      <c r="Y511" s="307">
        <f t="shared" si="234"/>
        <v>68395.5</v>
      </c>
      <c r="Z511" s="307">
        <f t="shared" si="235"/>
        <v>4677944420.25</v>
      </c>
      <c r="AB511" s="333">
        <f t="shared" si="236"/>
        <v>33.305146722870603</v>
      </c>
      <c r="AC511" s="334">
        <f t="shared" si="237"/>
        <v>-35.366995822491752</v>
      </c>
      <c r="AE511" s="333">
        <f t="shared" si="238"/>
        <v>-14.217371960872082</v>
      </c>
      <c r="AF511" s="334">
        <f t="shared" si="239"/>
        <v>-103.91584879438496</v>
      </c>
      <c r="AH511">
        <f t="shared" si="240"/>
        <v>0</v>
      </c>
      <c r="AI511">
        <f t="shared" si="245"/>
        <v>0</v>
      </c>
    </row>
    <row r="512" spans="1:35" x14ac:dyDescent="0.25">
      <c r="A512" s="335">
        <v>68789.25</v>
      </c>
      <c r="B512" s="352">
        <f t="shared" si="241"/>
        <v>68.789249999999996</v>
      </c>
      <c r="C512" s="325">
        <f t="shared" si="216"/>
        <v>146.52222413278267</v>
      </c>
      <c r="D512" s="326">
        <f t="shared" si="217"/>
        <v>1.5639713705857019</v>
      </c>
      <c r="E512" s="326">
        <f t="shared" si="218"/>
        <v>1.01483479078598</v>
      </c>
      <c r="F512" s="327">
        <f t="shared" si="219"/>
        <v>0.17119398498950342</v>
      </c>
      <c r="G512" s="326">
        <f t="shared" si="220"/>
        <v>1</v>
      </c>
      <c r="H512" s="327">
        <f t="shared" si="221"/>
        <v>0</v>
      </c>
      <c r="I512" s="325">
        <f t="shared" si="222"/>
        <v>22698.730021676984</v>
      </c>
      <c r="J512" s="328">
        <f t="shared" si="223"/>
        <v>1.5707522714667188</v>
      </c>
      <c r="K512" s="336">
        <f t="shared" si="243"/>
        <v>16.08619348416682</v>
      </c>
      <c r="L512" s="337">
        <f t="shared" si="244"/>
        <v>1.5085911067006859</v>
      </c>
      <c r="M512" s="325">
        <f t="shared" si="224"/>
        <v>1.1783108193548364</v>
      </c>
      <c r="N512" s="337">
        <f t="shared" si="225"/>
        <v>0.55732592945932291</v>
      </c>
      <c r="O512" s="343">
        <f t="shared" si="226"/>
        <v>1.0769328188918217</v>
      </c>
      <c r="P512" s="691">
        <f t="shared" si="227"/>
        <v>0.38027383787796692</v>
      </c>
      <c r="Q512" s="336">
        <f t="shared" si="242"/>
        <v>4.9981377594455605</v>
      </c>
      <c r="R512" s="692">
        <f t="shared" si="228"/>
        <v>0.59148422518767041</v>
      </c>
      <c r="S512" s="329">
        <f t="shared" si="229"/>
        <v>0.97038754190402776</v>
      </c>
      <c r="T512" s="330">
        <f t="shared" si="230"/>
        <v>0.42267013922001834</v>
      </c>
      <c r="U512" s="331">
        <f t="shared" si="231"/>
        <v>-6.3459390615572486</v>
      </c>
      <c r="V512" s="332">
        <f t="shared" si="232"/>
        <v>-151.61294101678959</v>
      </c>
      <c r="W512" s="334">
        <f t="shared" si="233"/>
        <v>28.387058983210409</v>
      </c>
      <c r="Y512" s="307">
        <f t="shared" si="234"/>
        <v>68789.25</v>
      </c>
      <c r="Z512" s="307">
        <f t="shared" si="235"/>
        <v>4731960915.5625</v>
      </c>
      <c r="AB512" s="333">
        <f t="shared" si="236"/>
        <v>33.291061665649394</v>
      </c>
      <c r="AC512" s="334">
        <f t="shared" si="237"/>
        <v>-35.49399600249383</v>
      </c>
      <c r="AE512" s="333">
        <f t="shared" si="238"/>
        <v>-14.263408700325645</v>
      </c>
      <c r="AF512" s="334">
        <f t="shared" si="239"/>
        <v>-104.0174812182983</v>
      </c>
      <c r="AH512">
        <f t="shared" si="240"/>
        <v>0</v>
      </c>
      <c r="AI512">
        <f t="shared" si="245"/>
        <v>0</v>
      </c>
    </row>
    <row r="513" spans="1:35" x14ac:dyDescent="0.25">
      <c r="A513" s="335">
        <v>69183</v>
      </c>
      <c r="B513" s="352">
        <f t="shared" si="241"/>
        <v>69.183000000000007</v>
      </c>
      <c r="C513" s="325">
        <f t="shared" si="216"/>
        <v>147.36087909839995</v>
      </c>
      <c r="D513" s="326">
        <f t="shared" si="217"/>
        <v>1.5640102131303832</v>
      </c>
      <c r="E513" s="326">
        <f t="shared" si="218"/>
        <v>1.015003846757907</v>
      </c>
      <c r="F513" s="327">
        <f t="shared" si="219"/>
        <v>0.17215470637300645</v>
      </c>
      <c r="G513" s="326">
        <f t="shared" si="220"/>
        <v>1</v>
      </c>
      <c r="H513" s="327">
        <f t="shared" si="221"/>
        <v>0</v>
      </c>
      <c r="I513" s="325">
        <f t="shared" si="222"/>
        <v>22828.657661951271</v>
      </c>
      <c r="J513" s="328">
        <f t="shared" si="223"/>
        <v>1.5707525222044065</v>
      </c>
      <c r="K513" s="336">
        <f t="shared" si="243"/>
        <v>16.177916108855229</v>
      </c>
      <c r="L513" s="337">
        <f t="shared" si="244"/>
        <v>1.5089442383403673</v>
      </c>
      <c r="M513" s="325">
        <f t="shared" si="224"/>
        <v>1.1802015538593738</v>
      </c>
      <c r="N513" s="337">
        <f t="shared" si="225"/>
        <v>0.55989120011507199</v>
      </c>
      <c r="O513" s="343">
        <f t="shared" si="226"/>
        <v>1.0777841823798489</v>
      </c>
      <c r="P513" s="691">
        <f t="shared" si="227"/>
        <v>0.38224511146723278</v>
      </c>
      <c r="Q513" s="336">
        <f t="shared" si="242"/>
        <v>5.0069784843804079</v>
      </c>
      <c r="R513" s="692">
        <f t="shared" si="228"/>
        <v>0.59413864156225482</v>
      </c>
      <c r="S513" s="329">
        <f t="shared" si="229"/>
        <v>0.97012148878825466</v>
      </c>
      <c r="T513" s="330">
        <f t="shared" si="230"/>
        <v>0.42537037619049067</v>
      </c>
      <c r="U513" s="331">
        <f t="shared" si="231"/>
        <v>-6.4142875443830514</v>
      </c>
      <c r="V513" s="332">
        <f t="shared" si="232"/>
        <v>-151.88073522643367</v>
      </c>
      <c r="W513" s="334">
        <f t="shared" si="233"/>
        <v>28.119264773566329</v>
      </c>
      <c r="Y513" s="307">
        <f t="shared" si="234"/>
        <v>69183</v>
      </c>
      <c r="Z513" s="307">
        <f t="shared" si="235"/>
        <v>4786287489</v>
      </c>
      <c r="AB513" s="333">
        <f t="shared" si="236"/>
        <v>33.276944829845661</v>
      </c>
      <c r="AC513" s="334">
        <f t="shared" si="237"/>
        <v>-35.620756598166857</v>
      </c>
      <c r="AE513" s="333">
        <f t="shared" si="238"/>
        <v>-14.309154155516815</v>
      </c>
      <c r="AF513" s="334">
        <f t="shared" si="239"/>
        <v>-104.11937363382108</v>
      </c>
      <c r="AH513">
        <f t="shared" si="240"/>
        <v>0</v>
      </c>
      <c r="AI513">
        <f t="shared" si="245"/>
        <v>0</v>
      </c>
    </row>
    <row r="514" spans="1:35" x14ac:dyDescent="0.25">
      <c r="A514" s="335">
        <v>69586</v>
      </c>
      <c r="B514" s="352">
        <f t="shared" si="241"/>
        <v>69.585999999999999</v>
      </c>
      <c r="C514" s="325">
        <f t="shared" si="216"/>
        <v>148.21923602730703</v>
      </c>
      <c r="D514" s="326">
        <f t="shared" si="217"/>
        <v>1.5640495129978076</v>
      </c>
      <c r="E514" s="326">
        <f t="shared" si="218"/>
        <v>1.0151778439806887</v>
      </c>
      <c r="F514" s="327">
        <f t="shared" si="219"/>
        <v>0.17313766481356999</v>
      </c>
      <c r="G514" s="326">
        <f t="shared" si="220"/>
        <v>1</v>
      </c>
      <c r="H514" s="327">
        <f t="shared" si="221"/>
        <v>0</v>
      </c>
      <c r="I514" s="325">
        <f t="shared" si="222"/>
        <v>22961.637570601721</v>
      </c>
      <c r="J514" s="328">
        <f t="shared" si="223"/>
        <v>1.5707527758940847</v>
      </c>
      <c r="K514" s="336">
        <f t="shared" si="243"/>
        <v>16.271795552502361</v>
      </c>
      <c r="L514" s="337">
        <f t="shared" si="244"/>
        <v>1.5093015431972863</v>
      </c>
      <c r="M514" s="325">
        <f t="shared" si="224"/>
        <v>1.1821447218275374</v>
      </c>
      <c r="N514" s="337">
        <f t="shared" si="225"/>
        <v>0.56250821932158379</v>
      </c>
      <c r="O514" s="343">
        <f t="shared" si="226"/>
        <v>1.0786598761382744</v>
      </c>
      <c r="P514" s="691">
        <f t="shared" si="227"/>
        <v>0.3842594640186171</v>
      </c>
      <c r="Q514" s="336">
        <f t="shared" si="242"/>
        <v>5.0160628741777824</v>
      </c>
      <c r="R514" s="692">
        <f t="shared" si="228"/>
        <v>0.59684576438421366</v>
      </c>
      <c r="S514" s="329">
        <f t="shared" si="229"/>
        <v>0.96984941454269191</v>
      </c>
      <c r="T514" s="330">
        <f t="shared" si="230"/>
        <v>0.42813890143659539</v>
      </c>
      <c r="U514" s="331">
        <f t="shared" si="231"/>
        <v>-6.4839812038553255</v>
      </c>
      <c r="V514" s="332">
        <f t="shared" si="232"/>
        <v>-152.15447182844221</v>
      </c>
      <c r="W514" s="334">
        <f t="shared" si="233"/>
        <v>27.845528171557788</v>
      </c>
      <c r="Y514" s="307">
        <f t="shared" si="234"/>
        <v>69586</v>
      </c>
      <c r="Z514" s="307">
        <f t="shared" si="235"/>
        <v>4842211396</v>
      </c>
      <c r="AB514" s="333">
        <f t="shared" si="236"/>
        <v>33.262463875108615</v>
      </c>
      <c r="AC514" s="334">
        <f t="shared" si="237"/>
        <v>-35.750243228799505</v>
      </c>
      <c r="AE514" s="333">
        <f t="shared" si="238"/>
        <v>-14.355676305374114</v>
      </c>
      <c r="AF514" s="334">
        <f t="shared" si="239"/>
        <v>-104.22393079247556</v>
      </c>
      <c r="AH514">
        <f t="shared" si="240"/>
        <v>0</v>
      </c>
      <c r="AI514">
        <f t="shared" si="245"/>
        <v>0</v>
      </c>
    </row>
    <row r="515" spans="1:35" x14ac:dyDescent="0.25">
      <c r="A515" s="335">
        <v>69989</v>
      </c>
      <c r="B515" s="352">
        <f t="shared" si="241"/>
        <v>69.989000000000004</v>
      </c>
      <c r="C515" s="325">
        <f t="shared" si="216"/>
        <v>149.07759318249953</v>
      </c>
      <c r="D515" s="326">
        <f t="shared" si="217"/>
        <v>1.5640883603046929</v>
      </c>
      <c r="E515" s="326">
        <f t="shared" si="218"/>
        <v>1.0153528217389802</v>
      </c>
      <c r="F515" s="327">
        <f t="shared" si="219"/>
        <v>0.17412028541293559</v>
      </c>
      <c r="G515" s="326">
        <f t="shared" si="220"/>
        <v>1</v>
      </c>
      <c r="H515" s="327">
        <f t="shared" si="221"/>
        <v>0</v>
      </c>
      <c r="I515" s="325">
        <f t="shared" si="222"/>
        <v>23094.617479253633</v>
      </c>
      <c r="J515" s="328">
        <f t="shared" si="223"/>
        <v>1.5707530266622483</v>
      </c>
      <c r="K515" s="336">
        <f t="shared" si="243"/>
        <v>16.365677049683704</v>
      </c>
      <c r="L515" s="337">
        <f t="shared" si="244"/>
        <v>1.5096547487493794</v>
      </c>
      <c r="M515" s="325">
        <f t="shared" si="224"/>
        <v>1.184095959450971</v>
      </c>
      <c r="N515" s="337">
        <f t="shared" si="225"/>
        <v>0.56511663132248691</v>
      </c>
      <c r="O515" s="343">
        <f t="shared" si="226"/>
        <v>1.0795399395734737</v>
      </c>
      <c r="P515" s="691">
        <f t="shared" si="227"/>
        <v>0.38627054043483977</v>
      </c>
      <c r="Q515" s="336">
        <f t="shared" si="242"/>
        <v>5.0251834638062407</v>
      </c>
      <c r="R515" s="692">
        <f t="shared" si="228"/>
        <v>0.59954313785449043</v>
      </c>
      <c r="S515" s="329">
        <f t="shared" si="229"/>
        <v>0.96957760510514301</v>
      </c>
      <c r="T515" s="330">
        <f t="shared" si="230"/>
        <v>0.43091236023351281</v>
      </c>
      <c r="U515" s="331">
        <f t="shared" si="231"/>
        <v>-6.5534142081260516</v>
      </c>
      <c r="V515" s="332">
        <f t="shared" si="232"/>
        <v>-152.42785519008956</v>
      </c>
      <c r="W515" s="334">
        <f t="shared" si="233"/>
        <v>27.572144809910441</v>
      </c>
      <c r="Y515" s="307">
        <f t="shared" si="234"/>
        <v>69989</v>
      </c>
      <c r="Z515" s="307">
        <f t="shared" si="235"/>
        <v>4898460121</v>
      </c>
      <c r="AB515" s="333">
        <f t="shared" si="236"/>
        <v>33.247950487271794</v>
      </c>
      <c r="AC515" s="334">
        <f t="shared" si="237"/>
        <v>-35.879471408352074</v>
      </c>
      <c r="AE515" s="333">
        <f t="shared" si="238"/>
        <v>-14.401900718996199</v>
      </c>
      <c r="AF515" s="334">
        <f t="shared" si="239"/>
        <v>-104.32876404983587</v>
      </c>
      <c r="AH515">
        <f t="shared" si="240"/>
        <v>0</v>
      </c>
      <c r="AI515">
        <f t="shared" si="245"/>
        <v>0</v>
      </c>
    </row>
    <row r="516" spans="1:35" x14ac:dyDescent="0.25">
      <c r="A516" s="335">
        <v>70392</v>
      </c>
      <c r="B516" s="352">
        <f t="shared" si="241"/>
        <v>70.391999999999996</v>
      </c>
      <c r="C516" s="325">
        <f t="shared" si="216"/>
        <v>149.93595056009113</v>
      </c>
      <c r="D516" s="326">
        <f t="shared" si="217"/>
        <v>1.564126762823413</v>
      </c>
      <c r="E516" s="326">
        <f t="shared" si="218"/>
        <v>1.0155287795259367</v>
      </c>
      <c r="F516" s="327">
        <f t="shared" si="219"/>
        <v>0.17510256644870273</v>
      </c>
      <c r="G516" s="326">
        <f t="shared" si="220"/>
        <v>1</v>
      </c>
      <c r="H516" s="327">
        <f t="shared" si="221"/>
        <v>0</v>
      </c>
      <c r="I516" s="325">
        <f t="shared" si="222"/>
        <v>23227.597387906986</v>
      </c>
      <c r="J516" s="328">
        <f t="shared" si="223"/>
        <v>1.5707532745590753</v>
      </c>
      <c r="K516" s="336">
        <f t="shared" si="243"/>
        <v>16.459560565260624</v>
      </c>
      <c r="L516" s="337">
        <f t="shared" si="244"/>
        <v>1.5100039250537025</v>
      </c>
      <c r="M516" s="325">
        <f t="shared" si="224"/>
        <v>1.1860552269023186</v>
      </c>
      <c r="N516" s="337">
        <f t="shared" si="225"/>
        <v>0.56771644319149517</v>
      </c>
      <c r="O516" s="343">
        <f t="shared" si="226"/>
        <v>1.080424362007441</v>
      </c>
      <c r="P516" s="691">
        <f t="shared" si="227"/>
        <v>0.38827833247427934</v>
      </c>
      <c r="Q516" s="336">
        <f t="shared" si="242"/>
        <v>5.0343400565464203</v>
      </c>
      <c r="R516" s="692">
        <f t="shared" si="228"/>
        <v>0.60223077650408552</v>
      </c>
      <c r="S516" s="329">
        <f t="shared" si="229"/>
        <v>0.96930609410239321</v>
      </c>
      <c r="T516" s="330">
        <f t="shared" si="230"/>
        <v>0.43369077565689235</v>
      </c>
      <c r="U516" s="331">
        <f t="shared" si="231"/>
        <v>-6.6225893672128056</v>
      </c>
      <c r="V516" s="332">
        <f t="shared" si="232"/>
        <v>-152.70088487649403</v>
      </c>
      <c r="W516" s="334">
        <f t="shared" si="233"/>
        <v>27.29911512350597</v>
      </c>
      <c r="Y516" s="307">
        <f t="shared" si="234"/>
        <v>70392</v>
      </c>
      <c r="Z516" s="307">
        <f t="shared" si="235"/>
        <v>4955033664</v>
      </c>
      <c r="AB516" s="333">
        <f t="shared" si="236"/>
        <v>33.233405098238819</v>
      </c>
      <c r="AC516" s="334">
        <f t="shared" si="237"/>
        <v>-36.008437531019901</v>
      </c>
      <c r="AE516" s="333">
        <f t="shared" si="238"/>
        <v>-14.447831052399053</v>
      </c>
      <c r="AF516" s="334">
        <f t="shared" si="239"/>
        <v>-104.43387527204982</v>
      </c>
      <c r="AH516">
        <f t="shared" si="240"/>
        <v>0</v>
      </c>
      <c r="AI516">
        <f t="shared" si="245"/>
        <v>0</v>
      </c>
    </row>
    <row r="517" spans="1:35" x14ac:dyDescent="0.25">
      <c r="A517" s="335">
        <v>70795</v>
      </c>
      <c r="B517" s="352">
        <f t="shared" si="241"/>
        <v>70.795000000000002</v>
      </c>
      <c r="C517" s="325">
        <f t="shared" si="216"/>
        <v>150.79430815628399</v>
      </c>
      <c r="D517" s="326">
        <f t="shared" si="217"/>
        <v>1.5641647281493787</v>
      </c>
      <c r="E517" s="326">
        <f t="shared" si="218"/>
        <v>1.0157057168322265</v>
      </c>
      <c r="F517" s="327">
        <f t="shared" si="219"/>
        <v>0.17608450620228211</v>
      </c>
      <c r="G517" s="326">
        <f t="shared" si="220"/>
        <v>1</v>
      </c>
      <c r="H517" s="327">
        <f t="shared" si="221"/>
        <v>0</v>
      </c>
      <c r="I517" s="325">
        <f t="shared" si="222"/>
        <v>23360.57729656174</v>
      </c>
      <c r="J517" s="328">
        <f t="shared" si="223"/>
        <v>1.5707535196336004</v>
      </c>
      <c r="K517" s="336">
        <f t="shared" si="243"/>
        <v>16.553446064890888</v>
      </c>
      <c r="L517" s="337">
        <f t="shared" si="244"/>
        <v>1.5103491405819336</v>
      </c>
      <c r="M517" s="325">
        <f t="shared" si="224"/>
        <v>1.188022484453594</v>
      </c>
      <c r="N517" s="337">
        <f t="shared" si="225"/>
        <v>0.5703076624207809</v>
      </c>
      <c r="O517" s="343">
        <f t="shared" si="226"/>
        <v>1.0813131327443022</v>
      </c>
      <c r="P517" s="691">
        <f t="shared" si="227"/>
        <v>0.39028283202813152</v>
      </c>
      <c r="Q517" s="336">
        <f t="shared" si="242"/>
        <v>5.0435324563338648</v>
      </c>
      <c r="R517" s="692">
        <f t="shared" si="228"/>
        <v>0.60490869531458824</v>
      </c>
      <c r="S517" s="329">
        <f t="shared" si="229"/>
        <v>0.96903491539161035</v>
      </c>
      <c r="T517" s="330">
        <f t="shared" si="230"/>
        <v>0.43647417061777349</v>
      </c>
      <c r="U517" s="331">
        <f t="shared" si="231"/>
        <v>-6.6915094413772733</v>
      </c>
      <c r="V517" s="332">
        <f t="shared" si="232"/>
        <v>-152.97356056593759</v>
      </c>
      <c r="W517" s="334">
        <f t="shared" si="233"/>
        <v>27.026439434062411</v>
      </c>
      <c r="Y517" s="307">
        <f t="shared" si="234"/>
        <v>70795</v>
      </c>
      <c r="Z517" s="307">
        <f t="shared" si="235"/>
        <v>5011932025</v>
      </c>
      <c r="AB517" s="333">
        <f t="shared" si="236"/>
        <v>33.218828139035196</v>
      </c>
      <c r="AC517" s="334">
        <f t="shared" si="237"/>
        <v>-36.137138105744107</v>
      </c>
      <c r="AE517" s="333">
        <f t="shared" si="238"/>
        <v>-14.49347090677165</v>
      </c>
      <c r="AF517" s="334">
        <f t="shared" si="239"/>
        <v>-104.53926630547616</v>
      </c>
      <c r="AH517">
        <f t="shared" si="240"/>
        <v>0</v>
      </c>
      <c r="AI517">
        <f t="shared" si="245"/>
        <v>0</v>
      </c>
    </row>
    <row r="518" spans="1:35" x14ac:dyDescent="0.25">
      <c r="A518" s="335">
        <v>71207.25</v>
      </c>
      <c r="B518" s="352">
        <f t="shared" si="241"/>
        <v>71.207250000000002</v>
      </c>
      <c r="C518" s="325">
        <f t="shared" si="216"/>
        <v>151.67236773103258</v>
      </c>
      <c r="D518" s="326">
        <f t="shared" si="217"/>
        <v>1.5642031202665185</v>
      </c>
      <c r="E518" s="326">
        <f t="shared" si="218"/>
        <v>1.0158877283224708</v>
      </c>
      <c r="F518" s="327">
        <f t="shared" si="219"/>
        <v>0.17708862936527589</v>
      </c>
      <c r="G518" s="326">
        <f t="shared" si="220"/>
        <v>1</v>
      </c>
      <c r="H518" s="327">
        <f t="shared" si="221"/>
        <v>0</v>
      </c>
      <c r="I518" s="325">
        <f t="shared" si="222"/>
        <v>23496.609473592769</v>
      </c>
      <c r="J518" s="328">
        <f t="shared" si="223"/>
        <v>1.570753767463031</v>
      </c>
      <c r="K518" s="336">
        <f t="shared" si="243"/>
        <v>16.649488522540633</v>
      </c>
      <c r="L518" s="337">
        <f t="shared" si="244"/>
        <v>1.510698251379238</v>
      </c>
      <c r="M518" s="325">
        <f t="shared" si="224"/>
        <v>1.1900431221628733</v>
      </c>
      <c r="N518" s="337">
        <f t="shared" si="225"/>
        <v>0.57294947502762095</v>
      </c>
      <c r="O518" s="343">
        <f t="shared" si="226"/>
        <v>1.0822267912931973</v>
      </c>
      <c r="P518" s="691">
        <f t="shared" si="227"/>
        <v>0.39232992554051244</v>
      </c>
      <c r="Q518" s="336">
        <f t="shared" si="242"/>
        <v>5.0529726934947288</v>
      </c>
      <c r="R518" s="692">
        <f t="shared" si="228"/>
        <v>0.60763803904056668</v>
      </c>
      <c r="S518" s="329">
        <f t="shared" si="229"/>
        <v>0.96875789171724302</v>
      </c>
      <c r="T518" s="330">
        <f t="shared" si="230"/>
        <v>0.439326628438311</v>
      </c>
      <c r="U518" s="331">
        <f t="shared" si="231"/>
        <v>-6.7617503205774252</v>
      </c>
      <c r="V518" s="332">
        <f t="shared" si="232"/>
        <v>-153.25212844229944</v>
      </c>
      <c r="W518" s="334">
        <f t="shared" si="233"/>
        <v>26.747871557700563</v>
      </c>
      <c r="Y518" s="307">
        <f t="shared" si="234"/>
        <v>71207.25</v>
      </c>
      <c r="Z518" s="307">
        <f t="shared" si="235"/>
        <v>5070472452.5625</v>
      </c>
      <c r="AB518" s="333">
        <f t="shared" si="236"/>
        <v>33.203884379972514</v>
      </c>
      <c r="AC518" s="334">
        <f t="shared" si="237"/>
        <v>-36.268514442843028</v>
      </c>
      <c r="AE518" s="333">
        <f t="shared" si="238"/>
        <v>-14.539861468023471</v>
      </c>
      <c r="AF518" s="334">
        <f t="shared" si="239"/>
        <v>-104.64736778688339</v>
      </c>
      <c r="AH518">
        <f t="shared" si="240"/>
        <v>0</v>
      </c>
      <c r="AI518">
        <f t="shared" si="245"/>
        <v>0</v>
      </c>
    </row>
    <row r="519" spans="1:35" x14ac:dyDescent="0.25">
      <c r="A519" s="335">
        <v>71619.5</v>
      </c>
      <c r="B519" s="352">
        <f t="shared" si="241"/>
        <v>71.619500000000002</v>
      </c>
      <c r="C519" s="325">
        <f t="shared" si="216"/>
        <v>152.55042752676582</v>
      </c>
      <c r="D519" s="326">
        <f t="shared" si="217"/>
        <v>1.5642410704239622</v>
      </c>
      <c r="E519" s="326">
        <f t="shared" si="218"/>
        <v>1.0160707637274879</v>
      </c>
      <c r="F519" s="327">
        <f t="shared" si="219"/>
        <v>0.17809239177370484</v>
      </c>
      <c r="G519" s="326">
        <f t="shared" si="220"/>
        <v>1</v>
      </c>
      <c r="H519" s="327">
        <f t="shared" si="221"/>
        <v>0</v>
      </c>
      <c r="I519" s="325">
        <f t="shared" si="222"/>
        <v>23632.641650625221</v>
      </c>
      <c r="J519" s="328">
        <f t="shared" si="223"/>
        <v>1.5707540124393928</v>
      </c>
      <c r="K519" s="336">
        <f t="shared" si="243"/>
        <v>16.745532986125689</v>
      </c>
      <c r="L519" s="337">
        <f t="shared" si="244"/>
        <v>1.5110433575491018</v>
      </c>
      <c r="M519" s="325">
        <f t="shared" si="224"/>
        <v>1.1920720371994844</v>
      </c>
      <c r="N519" s="337">
        <f t="shared" si="225"/>
        <v>0.57558231319002806</v>
      </c>
      <c r="O519" s="343">
        <f t="shared" si="226"/>
        <v>1.0831449773507378</v>
      </c>
      <c r="P519" s="691">
        <f t="shared" si="227"/>
        <v>0.39437355694716159</v>
      </c>
      <c r="Q519" s="336">
        <f t="shared" si="242"/>
        <v>5.0624499874016484</v>
      </c>
      <c r="R519" s="692">
        <f t="shared" si="228"/>
        <v>0.61035724473245678</v>
      </c>
      <c r="S519" s="329">
        <f t="shared" si="229"/>
        <v>0.96848128817465817</v>
      </c>
      <c r="T519" s="330">
        <f t="shared" si="230"/>
        <v>0.44218434496878217</v>
      </c>
      <c r="U519" s="331">
        <f t="shared" si="231"/>
        <v>-6.8317299603223898</v>
      </c>
      <c r="V519" s="332">
        <f t="shared" si="232"/>
        <v>-153.53032555230789</v>
      </c>
      <c r="W519" s="334">
        <f t="shared" si="233"/>
        <v>26.469674447692114</v>
      </c>
      <c r="Y519" s="307">
        <f t="shared" si="234"/>
        <v>71619.5</v>
      </c>
      <c r="Z519" s="307">
        <f t="shared" si="235"/>
        <v>5129352780.25</v>
      </c>
      <c r="AB519" s="333">
        <f t="shared" si="236"/>
        <v>33.188908494094285</v>
      </c>
      <c r="AC519" s="334">
        <f t="shared" si="237"/>
        <v>-36.399605866934223</v>
      </c>
      <c r="AE519" s="333">
        <f t="shared" si="238"/>
        <v>-14.585955515787051</v>
      </c>
      <c r="AF519" s="334">
        <f t="shared" si="239"/>
        <v>-104.75576591746452</v>
      </c>
      <c r="AH519">
        <f t="shared" si="240"/>
        <v>0</v>
      </c>
      <c r="AI519">
        <f t="shared" si="245"/>
        <v>0</v>
      </c>
    </row>
    <row r="520" spans="1:35" x14ac:dyDescent="0.25">
      <c r="A520" s="335">
        <v>72031.75</v>
      </c>
      <c r="B520" s="352">
        <f t="shared" si="241"/>
        <v>72.031750000000002</v>
      </c>
      <c r="C520" s="325">
        <f t="shared" si="216"/>
        <v>153.42848753968966</v>
      </c>
      <c r="D520" s="326">
        <f t="shared" si="217"/>
        <v>1.5642785862095085</v>
      </c>
      <c r="E520" s="326">
        <f t="shared" si="218"/>
        <v>1.0162548224940331</v>
      </c>
      <c r="F520" s="327">
        <f t="shared" si="219"/>
        <v>0.17909579160038233</v>
      </c>
      <c r="G520" s="326">
        <f t="shared" si="220"/>
        <v>1</v>
      </c>
      <c r="H520" s="327">
        <f t="shared" si="221"/>
        <v>0</v>
      </c>
      <c r="I520" s="325">
        <f t="shared" si="222"/>
        <v>23768.673827659073</v>
      </c>
      <c r="J520" s="328">
        <f t="shared" si="223"/>
        <v>1.5707542546116715</v>
      </c>
      <c r="K520" s="336">
        <f t="shared" si="243"/>
        <v>16.841579421327594</v>
      </c>
      <c r="L520" s="337">
        <f t="shared" si="244"/>
        <v>1.5113845275230025</v>
      </c>
      <c r="M520" s="325">
        <f t="shared" si="224"/>
        <v>1.1941091873713221</v>
      </c>
      <c r="N520" s="337">
        <f t="shared" si="225"/>
        <v>0.57820618624574793</v>
      </c>
      <c r="O520" s="343">
        <f t="shared" si="226"/>
        <v>1.0840676794127657</v>
      </c>
      <c r="P520" s="691">
        <f t="shared" si="227"/>
        <v>0.39641371799668013</v>
      </c>
      <c r="Q520" s="336">
        <f t="shared" si="242"/>
        <v>5.071964130355898</v>
      </c>
      <c r="R520" s="692">
        <f t="shared" si="228"/>
        <v>0.61306632983623288</v>
      </c>
      <c r="S520" s="329">
        <f t="shared" si="229"/>
        <v>0.96820514175596684</v>
      </c>
      <c r="T520" s="330">
        <f t="shared" si="230"/>
        <v>0.44504734418005248</v>
      </c>
      <c r="U520" s="331">
        <f t="shared" si="231"/>
        <v>-6.9014511626855191</v>
      </c>
      <c r="V520" s="332">
        <f t="shared" si="232"/>
        <v>-153.80815189816752</v>
      </c>
      <c r="W520" s="334">
        <f t="shared" si="233"/>
        <v>26.191848101832477</v>
      </c>
      <c r="Y520" s="307">
        <f t="shared" si="234"/>
        <v>72031.75</v>
      </c>
      <c r="Z520" s="307">
        <f t="shared" si="235"/>
        <v>5188573008.0625</v>
      </c>
      <c r="AB520" s="333">
        <f t="shared" si="236"/>
        <v>33.173900939371698</v>
      </c>
      <c r="AC520" s="334">
        <f t="shared" si="237"/>
        <v>-36.530408995002929</v>
      </c>
      <c r="AE520" s="333">
        <f t="shared" si="238"/>
        <v>-14.631756735259927</v>
      </c>
      <c r="AF520" s="334">
        <f t="shared" si="239"/>
        <v>-104.86446261008794</v>
      </c>
      <c r="AH520">
        <f t="shared" si="240"/>
        <v>0</v>
      </c>
      <c r="AI520">
        <f t="shared" si="245"/>
        <v>0</v>
      </c>
    </row>
    <row r="521" spans="1:35" x14ac:dyDescent="0.25">
      <c r="A521" s="335">
        <v>72444</v>
      </c>
      <c r="B521" s="352">
        <f t="shared" si="241"/>
        <v>72.444000000000003</v>
      </c>
      <c r="C521" s="325">
        <f t="shared" si="216"/>
        <v>154.30654776609646</v>
      </c>
      <c r="D521" s="326">
        <f t="shared" si="217"/>
        <v>1.5643156750382516</v>
      </c>
      <c r="E521" s="326">
        <f t="shared" si="218"/>
        <v>1.01643990406617</v>
      </c>
      <c r="F521" s="327">
        <f t="shared" si="219"/>
        <v>0.18009882702236199</v>
      </c>
      <c r="G521" s="326">
        <f t="shared" si="220"/>
        <v>1</v>
      </c>
      <c r="H521" s="327">
        <f t="shared" si="221"/>
        <v>0</v>
      </c>
      <c r="I521" s="325">
        <f t="shared" si="222"/>
        <v>23904.706004694304</v>
      </c>
      <c r="J521" s="328">
        <f t="shared" si="223"/>
        <v>1.5707544940277378</v>
      </c>
      <c r="K521" s="336">
        <f t="shared" si="243"/>
        <v>16.937627794605636</v>
      </c>
      <c r="L521" s="337">
        <f t="shared" si="244"/>
        <v>1.5117218281839102</v>
      </c>
      <c r="M521" s="325">
        <f t="shared" si="224"/>
        <v>1.1961545306030361</v>
      </c>
      <c r="N521" s="337">
        <f t="shared" si="225"/>
        <v>0.58082110396281794</v>
      </c>
      <c r="O521" s="343">
        <f t="shared" si="226"/>
        <v>1.0849948859577707</v>
      </c>
      <c r="P521" s="691">
        <f t="shared" si="227"/>
        <v>0.39845040058122433</v>
      </c>
      <c r="Q521" s="336">
        <f t="shared" si="242"/>
        <v>5.0815149154097607</v>
      </c>
      <c r="R521" s="692">
        <f t="shared" si="228"/>
        <v>0.61576531225455911</v>
      </c>
      <c r="S521" s="329">
        <f t="shared" si="229"/>
        <v>0.96792948970640713</v>
      </c>
      <c r="T521" s="330">
        <f t="shared" si="230"/>
        <v>0.44791564984937615</v>
      </c>
      <c r="U521" s="331">
        <f t="shared" si="231"/>
        <v>-6.9709166811624925</v>
      </c>
      <c r="V521" s="332">
        <f t="shared" si="232"/>
        <v>-154.08560759210596</v>
      </c>
      <c r="W521" s="334">
        <f t="shared" si="233"/>
        <v>25.914392407894042</v>
      </c>
      <c r="Y521" s="307">
        <f t="shared" si="234"/>
        <v>72444</v>
      </c>
      <c r="Z521" s="307">
        <f t="shared" si="235"/>
        <v>5248133136</v>
      </c>
      <c r="AB521" s="333">
        <f t="shared" si="236"/>
        <v>33.158862172443705</v>
      </c>
      <c r="AC521" s="334">
        <f t="shared" si="237"/>
        <v>-36.66092055734731</v>
      </c>
      <c r="AE521" s="333">
        <f t="shared" si="238"/>
        <v>-14.677268757137114</v>
      </c>
      <c r="AF521" s="334">
        <f t="shared" si="239"/>
        <v>-104.9734597563907</v>
      </c>
      <c r="AH521">
        <f t="shared" si="240"/>
        <v>0</v>
      </c>
      <c r="AI521">
        <f t="shared" si="245"/>
        <v>0</v>
      </c>
    </row>
    <row r="522" spans="1:35" x14ac:dyDescent="0.25">
      <c r="A522" s="335">
        <v>72865.75</v>
      </c>
      <c r="B522" s="352">
        <f t="shared" si="241"/>
        <v>72.865750000000006</v>
      </c>
      <c r="C522" s="325">
        <f t="shared" si="216"/>
        <v>155.2048424659225</v>
      </c>
      <c r="D522" s="326">
        <f t="shared" si="217"/>
        <v>1.5643531842797569</v>
      </c>
      <c r="E522" s="326">
        <f t="shared" si="218"/>
        <v>1.0166303085572321</v>
      </c>
      <c r="F522" s="327">
        <f t="shared" si="219"/>
        <v>0.18112459766859385</v>
      </c>
      <c r="G522" s="326">
        <f t="shared" si="220"/>
        <v>1</v>
      </c>
      <c r="H522" s="327">
        <f t="shared" si="221"/>
        <v>0</v>
      </c>
      <c r="I522" s="325">
        <f t="shared" si="222"/>
        <v>24043.872943845756</v>
      </c>
      <c r="J522" s="328">
        <f t="shared" si="223"/>
        <v>1.5707547361575387</v>
      </c>
      <c r="K522" s="336">
        <f t="shared" si="243"/>
        <v>17.035891503858949</v>
      </c>
      <c r="L522" s="337">
        <f t="shared" si="244"/>
        <v>1.5120629657695206</v>
      </c>
      <c r="M522" s="325">
        <f t="shared" si="224"/>
        <v>1.1982554419638798</v>
      </c>
      <c r="N522" s="337">
        <f t="shared" si="225"/>
        <v>0.5834870239073775</v>
      </c>
      <c r="O522" s="343">
        <f t="shared" si="226"/>
        <v>1.085948108650806</v>
      </c>
      <c r="P522" s="691">
        <f t="shared" si="227"/>
        <v>0.40053040909635995</v>
      </c>
      <c r="Q522" s="336">
        <f t="shared" si="242"/>
        <v>5.091323494735267</v>
      </c>
      <c r="R522" s="692">
        <f t="shared" si="228"/>
        <v>0.61851605530696541</v>
      </c>
      <c r="S522" s="329">
        <f t="shared" si="229"/>
        <v>0.96764803615004469</v>
      </c>
      <c r="T522" s="330">
        <f t="shared" si="230"/>
        <v>0.45085556940679106</v>
      </c>
      <c r="U522" s="331">
        <f t="shared" si="231"/>
        <v>-7.0417212137057614</v>
      </c>
      <c r="V522" s="332">
        <f t="shared" si="232"/>
        <v>-154.36907371626043</v>
      </c>
      <c r="W522" s="334">
        <f t="shared" si="233"/>
        <v>25.630926283739569</v>
      </c>
      <c r="Y522" s="307">
        <f t="shared" si="234"/>
        <v>72865.75</v>
      </c>
      <c r="Z522" s="307">
        <f t="shared" si="235"/>
        <v>5309417523.0625</v>
      </c>
      <c r="AB522" s="333">
        <f t="shared" si="236"/>
        <v>33.143445023423304</v>
      </c>
      <c r="AC522" s="334">
        <f t="shared" si="237"/>
        <v>-36.794134647969457</v>
      </c>
      <c r="AE522" s="333">
        <f t="shared" si="238"/>
        <v>-14.72353402962556</v>
      </c>
      <c r="AF522" s="334">
        <f t="shared" si="239"/>
        <v>-105.08528153171983</v>
      </c>
      <c r="AH522">
        <f t="shared" si="240"/>
        <v>0</v>
      </c>
      <c r="AI522">
        <f t="shared" si="245"/>
        <v>0</v>
      </c>
    </row>
    <row r="523" spans="1:35" x14ac:dyDescent="0.25">
      <c r="A523" s="335">
        <v>73287.5</v>
      </c>
      <c r="B523" s="352">
        <f t="shared" si="241"/>
        <v>73.287499999999994</v>
      </c>
      <c r="C523" s="325">
        <f t="shared" si="216"/>
        <v>156.10313738159982</v>
      </c>
      <c r="D523" s="326">
        <f t="shared" si="217"/>
        <v>1.5643902618277359</v>
      </c>
      <c r="E523" s="326">
        <f t="shared" si="218"/>
        <v>1.0168217823509436</v>
      </c>
      <c r="F523" s="327">
        <f t="shared" si="219"/>
        <v>0.18214998307556443</v>
      </c>
      <c r="G523" s="326">
        <f t="shared" si="220"/>
        <v>1</v>
      </c>
      <c r="H523" s="327">
        <f t="shared" si="221"/>
        <v>0</v>
      </c>
      <c r="I523" s="325">
        <f t="shared" si="222"/>
        <v>24183.039882998608</v>
      </c>
      <c r="J523" s="328">
        <f t="shared" si="223"/>
        <v>1.5707549755005548</v>
      </c>
      <c r="K523" s="336">
        <f t="shared" si="243"/>
        <v>17.1341571729218</v>
      </c>
      <c r="L523" s="337">
        <f t="shared" si="244"/>
        <v>1.5124001904950177</v>
      </c>
      <c r="M523" s="325">
        <f t="shared" si="224"/>
        <v>1.2003648396352513</v>
      </c>
      <c r="N523" s="337">
        <f t="shared" si="225"/>
        <v>0.58614359305049535</v>
      </c>
      <c r="O523" s="343">
        <f t="shared" si="226"/>
        <v>1.0869060213755175</v>
      </c>
      <c r="P523" s="691">
        <f t="shared" si="227"/>
        <v>0.40260676027260711</v>
      </c>
      <c r="Q523" s="336">
        <f t="shared" si="242"/>
        <v>5.1011699886576354</v>
      </c>
      <c r="R523" s="692">
        <f t="shared" si="228"/>
        <v>0.62125626402169365</v>
      </c>
      <c r="S523" s="329">
        <f t="shared" si="229"/>
        <v>0.96736717968348318</v>
      </c>
      <c r="T523" s="330">
        <f t="shared" si="230"/>
        <v>0.45380109251663436</v>
      </c>
      <c r="U523" s="331">
        <f t="shared" si="231"/>
        <v>-7.1122638228639925</v>
      </c>
      <c r="V523" s="332">
        <f t="shared" si="232"/>
        <v>-154.6521524849208</v>
      </c>
      <c r="W523" s="334">
        <f t="shared" si="233"/>
        <v>25.347847515079195</v>
      </c>
      <c r="Y523" s="307">
        <f t="shared" si="234"/>
        <v>73287.5</v>
      </c>
      <c r="Z523" s="307">
        <f t="shared" si="235"/>
        <v>5371057656.25</v>
      </c>
      <c r="AB523" s="333">
        <f t="shared" si="236"/>
        <v>33.127996169338267</v>
      </c>
      <c r="AC523" s="334">
        <f t="shared" si="237"/>
        <v>-36.927037007832901</v>
      </c>
      <c r="AE523" s="333">
        <f t="shared" si="238"/>
        <v>-14.769504140636347</v>
      </c>
      <c r="AF523" s="334">
        <f t="shared" si="239"/>
        <v>-105.19742170532038</v>
      </c>
      <c r="AH523">
        <f t="shared" si="240"/>
        <v>0</v>
      </c>
      <c r="AI523">
        <f t="shared" si="245"/>
        <v>0</v>
      </c>
    </row>
    <row r="524" spans="1:35" x14ac:dyDescent="0.25">
      <c r="A524" s="335">
        <v>73709.25</v>
      </c>
      <c r="B524" s="352">
        <f t="shared" si="241"/>
        <v>73.709249999999997</v>
      </c>
      <c r="C524" s="325">
        <f t="shared" si="216"/>
        <v>157.00143250942335</v>
      </c>
      <c r="D524" s="326">
        <f t="shared" si="217"/>
        <v>1.5644269150919838</v>
      </c>
      <c r="E524" s="326">
        <f t="shared" si="218"/>
        <v>1.0170143248433496</v>
      </c>
      <c r="F524" s="327">
        <f t="shared" si="219"/>
        <v>0.18317498130526116</v>
      </c>
      <c r="G524" s="326">
        <f t="shared" si="220"/>
        <v>1</v>
      </c>
      <c r="H524" s="327">
        <f t="shared" si="221"/>
        <v>0</v>
      </c>
      <c r="I524" s="325">
        <f t="shared" si="222"/>
        <v>24322.206822152821</v>
      </c>
      <c r="J524" s="328">
        <f t="shared" si="223"/>
        <v>1.5707552121046222</v>
      </c>
      <c r="K524" s="336">
        <f t="shared" si="243"/>
        <v>17.232424768267517</v>
      </c>
      <c r="L524" s="337">
        <f t="shared" si="244"/>
        <v>1.5127335692220845</v>
      </c>
      <c r="M524" s="325">
        <f t="shared" si="224"/>
        <v>1.2024826789570393</v>
      </c>
      <c r="N524" s="337">
        <f t="shared" si="225"/>
        <v>0.58879082320367837</v>
      </c>
      <c r="O524" s="343">
        <f t="shared" si="226"/>
        <v>1.0878686117426115</v>
      </c>
      <c r="P524" s="691">
        <f t="shared" si="227"/>
        <v>0.40467944589170329</v>
      </c>
      <c r="Q524" s="336">
        <f t="shared" si="242"/>
        <v>5.1110541780810834</v>
      </c>
      <c r="R524" s="692">
        <f t="shared" si="228"/>
        <v>0.62398595899228504</v>
      </c>
      <c r="S524" s="329">
        <f t="shared" si="229"/>
        <v>0.96708696101018543</v>
      </c>
      <c r="T524" s="330">
        <f t="shared" si="230"/>
        <v>0.45675224398609576</v>
      </c>
      <c r="U524" s="331">
        <f t="shared" si="231"/>
        <v>-7.1825473079614364</v>
      </c>
      <c r="V524" s="332">
        <f t="shared" si="232"/>
        <v>-154.93484435441709</v>
      </c>
      <c r="W524" s="334">
        <f t="shared" si="233"/>
        <v>25.065155645582905</v>
      </c>
      <c r="Y524" s="307">
        <f t="shared" si="234"/>
        <v>73709.25</v>
      </c>
      <c r="Z524" s="307">
        <f t="shared" si="235"/>
        <v>5433053535.5625</v>
      </c>
      <c r="AB524" s="333">
        <f t="shared" si="236"/>
        <v>33.112516094264393</v>
      </c>
      <c r="AC524" s="334">
        <f t="shared" si="237"/>
        <v>-37.059624485535664</v>
      </c>
      <c r="AE524" s="333">
        <f t="shared" si="238"/>
        <v>-14.815182808977506</v>
      </c>
      <c r="AF524" s="334">
        <f t="shared" si="239"/>
        <v>-105.30988223412965</v>
      </c>
      <c r="AH524">
        <f t="shared" si="240"/>
        <v>0</v>
      </c>
      <c r="AI524">
        <f t="shared" si="245"/>
        <v>0</v>
      </c>
    </row>
    <row r="525" spans="1:35" x14ac:dyDescent="0.25">
      <c r="A525" s="335">
        <v>74131</v>
      </c>
      <c r="B525" s="352">
        <f t="shared" si="241"/>
        <v>74.131</v>
      </c>
      <c r="C525" s="325">
        <f t="shared" ref="C525:C588" si="246">SQRT(1+(A525/pole1)^2)</f>
        <v>157.89972784577239</v>
      </c>
      <c r="D525" s="326">
        <f t="shared" ref="D525:D588" si="247">ATAN(A525/pole1)</f>
        <v>1.5644631513136824</v>
      </c>
      <c r="E525" s="326">
        <f t="shared" ref="E525:E588" si="248">SQRT(1+(A525/Zero1)^2)</f>
        <v>1.0172079354275838</v>
      </c>
      <c r="F525" s="327">
        <f t="shared" ref="F525:F588" si="249">ATAN(A525/Zero1)</f>
        <v>0.18419959042438896</v>
      </c>
      <c r="G525" s="326">
        <f t="shared" ref="G525:G588" si="250">IF(VIN_nom&gt;Vout, 1, SQRT(1+(A525/z_RHP)^2))</f>
        <v>1</v>
      </c>
      <c r="H525" s="327">
        <f t="shared" ref="H525:H588" si="251">IF(VIN_nom&gt;Vout, 0, -ATAN(A525/z_RHP))</f>
        <v>0</v>
      </c>
      <c r="I525" s="325">
        <f t="shared" ref="I525:I588" si="252">SQRT(1+(A525/Pole2)^2)</f>
        <v>24461.373761308383</v>
      </c>
      <c r="J525" s="328">
        <f t="shared" ref="J525:J588" si="253">ATAN(A525/Pole2)</f>
        <v>1.5707554460164892</v>
      </c>
      <c r="K525" s="336">
        <f t="shared" si="243"/>
        <v>17.330694257129167</v>
      </c>
      <c r="L525" s="337">
        <f t="shared" si="244"/>
        <v>1.5130631672993764</v>
      </c>
      <c r="M525" s="325">
        <f t="shared" ref="M525:M588" si="254">SQRT(1+(A525/pole4)^2)</f>
        <v>1.2046089154051034</v>
      </c>
      <c r="N525" s="337">
        <f t="shared" ref="N525:N588" si="255">ATAN(A525/pole4)</f>
        <v>0.59142872661910229</v>
      </c>
      <c r="O525" s="343">
        <f t="shared" ref="O525:O588" si="256">IF(VOUT_setting=1,1,SQRT(1+(A525*zterm1)^2))</f>
        <v>1.0888358673462146</v>
      </c>
      <c r="P525" s="691">
        <f t="shared" ref="P525:P588" si="257">IF(VOUT_setting=1,0,ATAN(((A525*zterm1))))</f>
        <v>0.40674845789035469</v>
      </c>
      <c r="Q525" s="336">
        <f t="shared" si="242"/>
        <v>5.1209758447658889</v>
      </c>
      <c r="R525" s="692">
        <f t="shared" ref="R525:R588" si="258">IF(VOUT_setting=1,0,ATAN(A525*$Q$4/(1+Afbr-$Q$5*(A525)^2)))</f>
        <v>0.62670516127269149</v>
      </c>
      <c r="S525" s="329">
        <f t="shared" ref="S525:S588" si="259">SQRT((1-(Z525/pterm2))^2+(A525/pterm1)^2)</f>
        <v>0.96680742111157225</v>
      </c>
      <c r="T525" s="330">
        <f t="shared" ref="T525:T588" si="260">IF((ATAN((A525/pterm1)/(1-A525^2/pterm2))&gt;0),ATAN((A525/pterm1)/(1-A525^2/pterm2)),PI()+ATAN((A525/pterm1)/(1-A525^2/pterm2)))</f>
        <v>0.45970904839464694</v>
      </c>
      <c r="U525" s="331">
        <f t="shared" ref="U525:U588" si="261">20*LOG10(((E525*K525*G525*O525)/(C525*I525*S525*M525*Q525))*Adc)</f>
        <v>-7.2525744209659537</v>
      </c>
      <c r="V525" s="332">
        <f t="shared" ref="V525:V588" si="262">((F525+L525+H525+P525)-(D525+J525+T525+N525+R525))*radconv</f>
        <v>-155.2171498874778</v>
      </c>
      <c r="W525" s="334">
        <f t="shared" ref="W525:W588" si="263">IF(V525&gt;0,V525,V525+180)</f>
        <v>24.782850112522198</v>
      </c>
      <c r="Y525" s="307">
        <f t="shared" ref="Y525:Y588" si="264">IF(U525&lt;0,A525,1000000000)</f>
        <v>74131</v>
      </c>
      <c r="Z525" s="307">
        <f t="shared" ref="Z525:Z588" si="265">A525^2</f>
        <v>5495405161</v>
      </c>
      <c r="AB525" s="333">
        <f t="shared" ref="AB525:AB588" si="266">20*LOG10((K525/(I525*M525))*AEA)</f>
        <v>33.097005280468814</v>
      </c>
      <c r="AC525" s="334">
        <f t="shared" ref="AC525:AC588" si="267">(L525-(J525+N525))*radconv</f>
        <v>-37.191894041552047</v>
      </c>
      <c r="AE525" s="333">
        <f t="shared" ref="AE525:AE588" si="268">20*LOG10((E525*G525/(C525*S525))*Acs*Am)</f>
        <v>-14.860573699278749</v>
      </c>
      <c r="AF525" s="334">
        <f t="shared" ref="AF525:AF588" si="269">(F525+H525-(D525+T525))*radconv</f>
        <v>-105.42266505210638</v>
      </c>
      <c r="AH525">
        <f t="shared" ref="AH525:AH588" si="270">SUM((U526&lt;0)*(U525&gt;0))*A525</f>
        <v>0</v>
      </c>
      <c r="AI525">
        <f t="shared" si="245"/>
        <v>0</v>
      </c>
    </row>
    <row r="526" spans="1:35" x14ac:dyDescent="0.25">
      <c r="A526" s="335">
        <v>74562.75</v>
      </c>
      <c r="B526" s="352">
        <f t="shared" ref="B526:B589" si="271">A526/1000</f>
        <v>74.562749999999994</v>
      </c>
      <c r="C526" s="325">
        <f t="shared" si="246"/>
        <v>158.81932263180425</v>
      </c>
      <c r="D526" s="326">
        <f t="shared" si="247"/>
        <v>1.5644998221182538</v>
      </c>
      <c r="E526" s="326">
        <f t="shared" si="248"/>
        <v>1.0174072424032157</v>
      </c>
      <c r="F526" s="327">
        <f t="shared" si="249"/>
        <v>0.18524808870023568</v>
      </c>
      <c r="G526" s="326">
        <f t="shared" si="250"/>
        <v>1</v>
      </c>
      <c r="H526" s="327">
        <f t="shared" si="251"/>
        <v>0</v>
      </c>
      <c r="I526" s="325">
        <f t="shared" si="252"/>
        <v>24603.840450059994</v>
      </c>
      <c r="J526" s="328">
        <f t="shared" si="253"/>
        <v>1.5707556827335638</v>
      </c>
      <c r="K526" s="336">
        <f t="shared" si="243"/>
        <v>17.431295715179228</v>
      </c>
      <c r="L526" s="337">
        <f t="shared" si="244"/>
        <v>1.5133967308939951</v>
      </c>
      <c r="M526" s="325">
        <f t="shared" si="254"/>
        <v>1.2067942182693805</v>
      </c>
      <c r="N526" s="337">
        <f t="shared" si="255"/>
        <v>0.59411952881910679</v>
      </c>
      <c r="O526" s="343">
        <f t="shared" si="256"/>
        <v>1.0898308767886222</v>
      </c>
      <c r="P526" s="691">
        <f t="shared" si="257"/>
        <v>0.40886271410635566</v>
      </c>
      <c r="Q526" s="336">
        <f t="shared" si="242"/>
        <v>5.1311713551752236</v>
      </c>
      <c r="R526" s="692">
        <f t="shared" si="258"/>
        <v>0.6294779914522497</v>
      </c>
      <c r="S526" s="329">
        <f t="shared" si="259"/>
        <v>0.96652199930304883</v>
      </c>
      <c r="T526" s="330">
        <f t="shared" si="260"/>
        <v>0.46274184179100247</v>
      </c>
      <c r="U526" s="331">
        <f t="shared" si="261"/>
        <v>-7.3239991904236676</v>
      </c>
      <c r="V526" s="332">
        <f t="shared" si="262"/>
        <v>-155.5057496007467</v>
      </c>
      <c r="W526" s="334">
        <f t="shared" si="263"/>
        <v>24.494250399253303</v>
      </c>
      <c r="Y526" s="307">
        <f t="shared" si="264"/>
        <v>74562.75</v>
      </c>
      <c r="Z526" s="307">
        <f t="shared" si="265"/>
        <v>5559603687.5625</v>
      </c>
      <c r="AB526" s="333">
        <f t="shared" si="266"/>
        <v>33.081095354871238</v>
      </c>
      <c r="AC526" s="334">
        <f t="shared" si="267"/>
        <v>-37.326967427989629</v>
      </c>
      <c r="AE526" s="333">
        <f t="shared" si="268"/>
        <v>-14.906746517078535</v>
      </c>
      <c r="AF526" s="334">
        <f t="shared" si="269"/>
        <v>-105.53845787028551</v>
      </c>
      <c r="AH526">
        <f t="shared" si="270"/>
        <v>0</v>
      </c>
      <c r="AI526">
        <f t="shared" si="245"/>
        <v>0</v>
      </c>
    </row>
    <row r="527" spans="1:35" x14ac:dyDescent="0.25">
      <c r="A527" s="335">
        <v>74994.5</v>
      </c>
      <c r="B527" s="352">
        <f t="shared" si="271"/>
        <v>74.994500000000002</v>
      </c>
      <c r="C527" s="325">
        <f t="shared" si="246"/>
        <v>159.73891762894905</v>
      </c>
      <c r="D527" s="326">
        <f t="shared" si="247"/>
        <v>1.564536070705308</v>
      </c>
      <c r="E527" s="326">
        <f t="shared" si="248"/>
        <v>1.0176076674252637</v>
      </c>
      <c r="F527" s="327">
        <f t="shared" si="249"/>
        <v>0.18629617510962615</v>
      </c>
      <c r="G527" s="326">
        <f t="shared" si="250"/>
        <v>1</v>
      </c>
      <c r="H527" s="327">
        <f t="shared" si="251"/>
        <v>0</v>
      </c>
      <c r="I527" s="325">
        <f t="shared" si="252"/>
        <v>24746.307138812968</v>
      </c>
      <c r="J527" s="328">
        <f t="shared" si="253"/>
        <v>1.570755916725036</v>
      </c>
      <c r="K527" s="336">
        <f t="shared" si="243"/>
        <v>17.531899090458243</v>
      </c>
      <c r="L527" s="337">
        <f t="shared" si="244"/>
        <v>1.5137264663460057</v>
      </c>
      <c r="M527" s="325">
        <f t="shared" si="254"/>
        <v>1.2089882272019976</v>
      </c>
      <c r="N527" s="337">
        <f t="shared" si="255"/>
        <v>0.59680058411683523</v>
      </c>
      <c r="O527" s="343">
        <f t="shared" si="256"/>
        <v>1.0908307489614455</v>
      </c>
      <c r="P527" s="691">
        <f t="shared" si="257"/>
        <v>0.41097310382232771</v>
      </c>
      <c r="Q527" s="336">
        <f t="shared" ref="Q527:Q590" si="272">IF(VOUT_setting=1,1,SQRT((1+Afbr-$Q$5*(A527)^2)^2+(A527*$Q$4)^2))</f>
        <v>5.1414056810772513</v>
      </c>
      <c r="R527" s="692">
        <f t="shared" si="258"/>
        <v>0.63223987155128247</v>
      </c>
      <c r="S527" s="329">
        <f t="shared" si="259"/>
        <v>0.96623737664625531</v>
      </c>
      <c r="T527" s="330">
        <f t="shared" si="260"/>
        <v>0.46578061075501531</v>
      </c>
      <c r="U527" s="331">
        <f t="shared" si="261"/>
        <v>-7.3951609763597368</v>
      </c>
      <c r="V527" s="332">
        <f t="shared" si="262"/>
        <v>-155.7939459603692</v>
      </c>
      <c r="W527" s="334">
        <f t="shared" si="263"/>
        <v>24.2060540396308</v>
      </c>
      <c r="Y527" s="307">
        <f t="shared" si="264"/>
        <v>74994.5</v>
      </c>
      <c r="Z527" s="307">
        <f t="shared" si="265"/>
        <v>5624175030.25</v>
      </c>
      <c r="AB527" s="333">
        <f t="shared" si="266"/>
        <v>33.065154232252567</v>
      </c>
      <c r="AC527" s="334">
        <f t="shared" si="267"/>
        <v>-37.461701538312361</v>
      </c>
      <c r="AE527" s="333">
        <f t="shared" si="268"/>
        <v>-14.952625351819355</v>
      </c>
      <c r="AF527" s="334">
        <f t="shared" si="269"/>
        <v>-105.65459247019993</v>
      </c>
      <c r="AH527">
        <f t="shared" si="270"/>
        <v>0</v>
      </c>
      <c r="AI527">
        <f t="shared" si="245"/>
        <v>0</v>
      </c>
    </row>
    <row r="528" spans="1:35" x14ac:dyDescent="0.25">
      <c r="A528" s="335">
        <v>75426.25</v>
      </c>
      <c r="B528" s="352">
        <f t="shared" si="271"/>
        <v>75.426249999999996</v>
      </c>
      <c r="C528" s="325">
        <f t="shared" si="246"/>
        <v>160.65851283358163</v>
      </c>
      <c r="D528" s="326">
        <f t="shared" si="247"/>
        <v>1.5645719043249573</v>
      </c>
      <c r="E528" s="326">
        <f t="shared" si="248"/>
        <v>1.0178092098332372</v>
      </c>
      <c r="F528" s="327">
        <f t="shared" si="249"/>
        <v>0.18734384759394052</v>
      </c>
      <c r="G528" s="326">
        <f t="shared" si="250"/>
        <v>1</v>
      </c>
      <c r="H528" s="327">
        <f t="shared" si="251"/>
        <v>0</v>
      </c>
      <c r="I528" s="325">
        <f t="shared" si="252"/>
        <v>24888.773827567282</v>
      </c>
      <c r="J528" s="328">
        <f t="shared" si="253"/>
        <v>1.5707561480377108</v>
      </c>
      <c r="K528" s="336">
        <f t="shared" si="243"/>
        <v>17.632504350149603</v>
      </c>
      <c r="L528" s="337">
        <f t="shared" si="244"/>
        <v>1.5140524391094472</v>
      </c>
      <c r="M528" s="325">
        <f t="shared" si="254"/>
        <v>1.2111908948911936</v>
      </c>
      <c r="N528" s="337">
        <f t="shared" si="255"/>
        <v>0.59947190704183118</v>
      </c>
      <c r="O528" s="343">
        <f t="shared" si="256"/>
        <v>1.0918354705052298</v>
      </c>
      <c r="P528" s="691">
        <f t="shared" si="257"/>
        <v>0.41307961888837158</v>
      </c>
      <c r="Q528" s="336">
        <f t="shared" si="272"/>
        <v>5.1516785911749841</v>
      </c>
      <c r="R528" s="692">
        <f t="shared" si="258"/>
        <v>0.63499082559209863</v>
      </c>
      <c r="S528" s="329">
        <f t="shared" si="259"/>
        <v>0.96595359801331093</v>
      </c>
      <c r="T528" s="330">
        <f t="shared" si="260"/>
        <v>0.46882538088785086</v>
      </c>
      <c r="U528" s="331">
        <f t="shared" si="261"/>
        <v>-7.4660625857813017</v>
      </c>
      <c r="V528" s="332">
        <f t="shared" si="262"/>
        <v>-156.08173989479005</v>
      </c>
      <c r="W528" s="334">
        <f t="shared" si="263"/>
        <v>23.918260105209953</v>
      </c>
      <c r="Y528" s="307">
        <f t="shared" si="264"/>
        <v>75426.25</v>
      </c>
      <c r="Z528" s="307">
        <f t="shared" si="265"/>
        <v>5689119189.0625</v>
      </c>
      <c r="AB528" s="333">
        <f t="shared" si="266"/>
        <v>33.049182423611406</v>
      </c>
      <c r="AC528" s="334">
        <f t="shared" si="267"/>
        <v>-37.596093457443331</v>
      </c>
      <c r="AE528" s="333">
        <f t="shared" si="268"/>
        <v>-14.998213966974195</v>
      </c>
      <c r="AF528" s="334">
        <f t="shared" si="269"/>
        <v>-105.77107085203936</v>
      </c>
      <c r="AH528">
        <f t="shared" si="270"/>
        <v>0</v>
      </c>
      <c r="AI528">
        <f t="shared" si="245"/>
        <v>0</v>
      </c>
    </row>
    <row r="529" spans="1:35" x14ac:dyDescent="0.25">
      <c r="A529" s="335">
        <v>75858</v>
      </c>
      <c r="B529" s="352">
        <f t="shared" si="271"/>
        <v>75.858000000000004</v>
      </c>
      <c r="C529" s="325">
        <f t="shared" si="246"/>
        <v>161.57810824215935</v>
      </c>
      <c r="D529" s="326">
        <f t="shared" si="247"/>
        <v>1.5646073300622665</v>
      </c>
      <c r="E529" s="326">
        <f t="shared" si="248"/>
        <v>1.0180118689634881</v>
      </c>
      <c r="F529" s="327">
        <f t="shared" si="249"/>
        <v>0.18839110409981941</v>
      </c>
      <c r="G529" s="326">
        <f t="shared" si="250"/>
        <v>1</v>
      </c>
      <c r="H529" s="327">
        <f t="shared" si="251"/>
        <v>0</v>
      </c>
      <c r="I529" s="325">
        <f t="shared" si="252"/>
        <v>25031.240516322916</v>
      </c>
      <c r="J529" s="328">
        <f t="shared" si="253"/>
        <v>1.570756376717328</v>
      </c>
      <c r="K529" s="336">
        <f t="shared" si="243"/>
        <v>17.733111462180791</v>
      </c>
      <c r="L529" s="337">
        <f t="shared" si="244"/>
        <v>1.5143747131562098</v>
      </c>
      <c r="M529" s="325">
        <f t="shared" si="254"/>
        <v>1.213402174182703</v>
      </c>
      <c r="N529" s="337">
        <f t="shared" si="255"/>
        <v>0.60213351257394254</v>
      </c>
      <c r="O529" s="343">
        <f t="shared" si="256"/>
        <v>1.0928450280449753</v>
      </c>
      <c r="P529" s="691">
        <f t="shared" si="257"/>
        <v>0.4151822513220324</v>
      </c>
      <c r="Q529" s="336">
        <f t="shared" si="272"/>
        <v>5.1619898551441814</v>
      </c>
      <c r="R529" s="692">
        <f t="shared" si="258"/>
        <v>0.63773087805945439</v>
      </c>
      <c r="S529" s="329">
        <f t="shared" si="259"/>
        <v>0.96567070858201809</v>
      </c>
      <c r="T529" s="330">
        <f t="shared" si="260"/>
        <v>0.47187617752225347</v>
      </c>
      <c r="U529" s="331">
        <f t="shared" si="261"/>
        <v>-7.5367067795026363</v>
      </c>
      <c r="V529" s="332">
        <f t="shared" si="262"/>
        <v>-156.36913243487911</v>
      </c>
      <c r="W529" s="334">
        <f t="shared" si="263"/>
        <v>23.630867565120894</v>
      </c>
      <c r="Y529" s="307">
        <f t="shared" si="264"/>
        <v>75858</v>
      </c>
      <c r="Z529" s="307">
        <f t="shared" si="265"/>
        <v>5754436164</v>
      </c>
      <c r="AB529" s="333">
        <f t="shared" si="266"/>
        <v>33.033180437632822</v>
      </c>
      <c r="AC529" s="334">
        <f t="shared" si="267"/>
        <v>-37.730140380965977</v>
      </c>
      <c r="AE529" s="333">
        <f t="shared" si="268"/>
        <v>-15.043516072043101</v>
      </c>
      <c r="AF529" s="334">
        <f t="shared" si="269"/>
        <v>-105.88789499085632</v>
      </c>
      <c r="AH529">
        <f t="shared" si="270"/>
        <v>0</v>
      </c>
      <c r="AI529">
        <f t="shared" si="245"/>
        <v>0</v>
      </c>
    </row>
    <row r="530" spans="1:35" x14ac:dyDescent="0.25">
      <c r="A530" s="335">
        <v>76299.75</v>
      </c>
      <c r="B530" s="352">
        <f t="shared" si="271"/>
        <v>76.299750000000003</v>
      </c>
      <c r="C530" s="325">
        <f t="shared" si="246"/>
        <v>162.51900311492437</v>
      </c>
      <c r="D530" s="326">
        <f t="shared" si="247"/>
        <v>1.5646431613736105</v>
      </c>
      <c r="E530" s="326">
        <f t="shared" si="248"/>
        <v>1.018220377117544</v>
      </c>
      <c r="F530" s="327">
        <f t="shared" si="249"/>
        <v>0.18946218401334258</v>
      </c>
      <c r="G530" s="326">
        <f t="shared" si="250"/>
        <v>1</v>
      </c>
      <c r="H530" s="327">
        <f t="shared" si="251"/>
        <v>0</v>
      </c>
      <c r="I530" s="325">
        <f t="shared" si="252"/>
        <v>25177.006954674689</v>
      </c>
      <c r="J530" s="328">
        <f t="shared" si="253"/>
        <v>1.5707566080148978</v>
      </c>
      <c r="K530" s="336">
        <f t="shared" si="243"/>
        <v>17.83605067554927</v>
      </c>
      <c r="L530" s="337">
        <f t="shared" si="244"/>
        <v>1.5147006885710479</v>
      </c>
      <c r="M530" s="325">
        <f t="shared" si="254"/>
        <v>1.2156735342187022</v>
      </c>
      <c r="N530" s="337">
        <f t="shared" si="255"/>
        <v>0.60484672350386881</v>
      </c>
      <c r="O530" s="343">
        <f t="shared" si="256"/>
        <v>1.0938829598451156</v>
      </c>
      <c r="P530" s="691">
        <f t="shared" si="257"/>
        <v>0.41732955726945042</v>
      </c>
      <c r="Q530" s="336">
        <f t="shared" si="272"/>
        <v>5.1725794014498421</v>
      </c>
      <c r="R530" s="692">
        <f t="shared" si="258"/>
        <v>0.64052313716193876</v>
      </c>
      <c r="S530" s="329">
        <f t="shared" si="259"/>
        <v>0.96538223476682905</v>
      </c>
      <c r="T530" s="330">
        <f t="shared" si="260"/>
        <v>0.47500389896924139</v>
      </c>
      <c r="U530" s="331">
        <f t="shared" si="261"/>
        <v>-7.6087236069196091</v>
      </c>
      <c r="V530" s="332">
        <f t="shared" si="262"/>
        <v>-156.6627671638297</v>
      </c>
      <c r="W530" s="334">
        <f t="shared" si="263"/>
        <v>23.337232836170301</v>
      </c>
      <c r="Y530" s="307">
        <f t="shared" si="264"/>
        <v>76299.75</v>
      </c>
      <c r="Z530" s="307">
        <f t="shared" si="265"/>
        <v>5821651850.0625</v>
      </c>
      <c r="AB530" s="333">
        <f t="shared" si="266"/>
        <v>33.01677711501884</v>
      </c>
      <c r="AC530" s="334">
        <f t="shared" si="267"/>
        <v>-37.866932153215153</v>
      </c>
      <c r="AE530" s="333">
        <f t="shared" si="268"/>
        <v>-15.089574716966913</v>
      </c>
      <c r="AF530" s="334">
        <f t="shared" si="269"/>
        <v>-106.0077848537466</v>
      </c>
      <c r="AH530">
        <f t="shared" si="270"/>
        <v>0</v>
      </c>
      <c r="AI530">
        <f t="shared" si="245"/>
        <v>0</v>
      </c>
    </row>
    <row r="531" spans="1:35" x14ac:dyDescent="0.25">
      <c r="A531" s="335">
        <v>76741.5</v>
      </c>
      <c r="B531" s="352">
        <f t="shared" si="271"/>
        <v>76.741500000000002</v>
      </c>
      <c r="C531" s="325">
        <f t="shared" si="246"/>
        <v>163.45989819394268</v>
      </c>
      <c r="D531" s="326">
        <f t="shared" si="247"/>
        <v>1.5646785801862166</v>
      </c>
      <c r="E531" s="326">
        <f t="shared" si="248"/>
        <v>1.0184300529073307</v>
      </c>
      <c r="F531" s="327">
        <f t="shared" si="249"/>
        <v>0.19053282412386474</v>
      </c>
      <c r="G531" s="326">
        <f t="shared" si="250"/>
        <v>1</v>
      </c>
      <c r="H531" s="327">
        <f t="shared" si="251"/>
        <v>0</v>
      </c>
      <c r="I531" s="325">
        <f t="shared" si="252"/>
        <v>25322.77339302779</v>
      </c>
      <c r="J531" s="328">
        <f t="shared" si="253"/>
        <v>1.5707568366496136</v>
      </c>
      <c r="K531" s="336">
        <f t="shared" si="243"/>
        <v>17.938991762424767</v>
      </c>
      <c r="L531" s="337">
        <f t="shared" si="244"/>
        <v>1.515022922866011</v>
      </c>
      <c r="M531" s="325">
        <f t="shared" si="254"/>
        <v>1.2179538100348635</v>
      </c>
      <c r="N531" s="337">
        <f t="shared" si="255"/>
        <v>0.60754979482244398</v>
      </c>
      <c r="O531" s="343">
        <f t="shared" si="256"/>
        <v>1.09492592587909</v>
      </c>
      <c r="P531" s="691">
        <f t="shared" si="257"/>
        <v>0.41947278227309154</v>
      </c>
      <c r="Q531" s="336">
        <f t="shared" si="272"/>
        <v>5.1832086142036724</v>
      </c>
      <c r="R531" s="692">
        <f t="shared" si="258"/>
        <v>0.64330403714249618</v>
      </c>
      <c r="S531" s="329">
        <f t="shared" si="259"/>
        <v>0.96509478848598951</v>
      </c>
      <c r="T531" s="330">
        <f t="shared" si="260"/>
        <v>0.47813798208994457</v>
      </c>
      <c r="U531" s="331">
        <f t="shared" si="261"/>
        <v>-7.6804766612990338</v>
      </c>
      <c r="V531" s="332">
        <f t="shared" si="262"/>
        <v>-156.95598418623575</v>
      </c>
      <c r="W531" s="334">
        <f t="shared" si="263"/>
        <v>23.044015813764247</v>
      </c>
      <c r="Y531" s="307">
        <f t="shared" si="264"/>
        <v>76741.5</v>
      </c>
      <c r="Z531" s="307">
        <f t="shared" si="265"/>
        <v>5889257822.25</v>
      </c>
      <c r="AB531" s="333">
        <f t="shared" si="266"/>
        <v>33.000343270620107</v>
      </c>
      <c r="AC531" s="334">
        <f t="shared" si="267"/>
        <v>-38.003357166336762</v>
      </c>
      <c r="AE531" s="333">
        <f t="shared" si="268"/>
        <v>-15.135341115206728</v>
      </c>
      <c r="AF531" s="334">
        <f t="shared" si="269"/>
        <v>-106.12804077811086</v>
      </c>
      <c r="AH531">
        <f t="shared" si="270"/>
        <v>0</v>
      </c>
      <c r="AI531">
        <f t="shared" si="245"/>
        <v>0</v>
      </c>
    </row>
    <row r="532" spans="1:35" x14ac:dyDescent="0.25">
      <c r="A532" s="335">
        <v>77183.25</v>
      </c>
      <c r="B532" s="352">
        <f t="shared" si="271"/>
        <v>77.183250000000001</v>
      </c>
      <c r="C532" s="325">
        <f t="shared" si="246"/>
        <v>164.400793475673</v>
      </c>
      <c r="D532" s="326">
        <f t="shared" si="247"/>
        <v>1.5647135935824088</v>
      </c>
      <c r="E532" s="326">
        <f t="shared" si="248"/>
        <v>1.0186408956118136</v>
      </c>
      <c r="F532" s="327">
        <f t="shared" si="249"/>
        <v>0.19160302224924664</v>
      </c>
      <c r="G532" s="326">
        <f t="shared" si="250"/>
        <v>1</v>
      </c>
      <c r="H532" s="327">
        <f t="shared" si="251"/>
        <v>0</v>
      </c>
      <c r="I532" s="325">
        <f t="shared" si="252"/>
        <v>25468.539831382204</v>
      </c>
      <c r="J532" s="328">
        <f t="shared" si="253"/>
        <v>1.5707570626671972</v>
      </c>
      <c r="K532" s="336">
        <f t="shared" si="243"/>
        <v>18.041934690738511</v>
      </c>
      <c r="L532" s="337">
        <f t="shared" si="244"/>
        <v>1.5153414800113851</v>
      </c>
      <c r="M532" s="325">
        <f t="shared" si="254"/>
        <v>1.2202429516482609</v>
      </c>
      <c r="N532" s="337">
        <f t="shared" si="255"/>
        <v>0.61024274398371148</v>
      </c>
      <c r="O532" s="343">
        <f t="shared" si="256"/>
        <v>1.0959739117746539</v>
      </c>
      <c r="P532" s="691">
        <f t="shared" si="257"/>
        <v>0.42161191832237838</v>
      </c>
      <c r="Q532" s="336">
        <f t="shared" si="272"/>
        <v>5.1938772499135375</v>
      </c>
      <c r="R532" s="692">
        <f t="shared" si="258"/>
        <v>0.64607360566058503</v>
      </c>
      <c r="S532" s="329">
        <f t="shared" si="259"/>
        <v>0.96480841912354209</v>
      </c>
      <c r="T532" s="330">
        <f t="shared" si="260"/>
        <v>0.48127845311450151</v>
      </c>
      <c r="U532" s="331">
        <f t="shared" si="261"/>
        <v>-7.7519687583627048</v>
      </c>
      <c r="V532" s="332">
        <f t="shared" si="262"/>
        <v>-157.24878491696586</v>
      </c>
      <c r="W532" s="334">
        <f t="shared" si="263"/>
        <v>22.75121508303414</v>
      </c>
      <c r="Y532" s="307">
        <f t="shared" si="264"/>
        <v>77183.25</v>
      </c>
      <c r="Z532" s="307">
        <f t="shared" si="265"/>
        <v>5957254080.5625</v>
      </c>
      <c r="AB532" s="333">
        <f t="shared" si="266"/>
        <v>32.983879441306016</v>
      </c>
      <c r="AC532" s="334">
        <f t="shared" si="267"/>
        <v>-38.139412757766102</v>
      </c>
      <c r="AE532" s="333">
        <f t="shared" si="268"/>
        <v>-15.18081907296175</v>
      </c>
      <c r="AF532" s="334">
        <f t="shared" si="269"/>
        <v>-106.24866479763996</v>
      </c>
      <c r="AH532">
        <f t="shared" si="270"/>
        <v>0</v>
      </c>
      <c r="AI532">
        <f t="shared" si="245"/>
        <v>0</v>
      </c>
    </row>
    <row r="533" spans="1:35" x14ac:dyDescent="0.25">
      <c r="A533" s="335">
        <v>77625</v>
      </c>
      <c r="B533" s="352">
        <f t="shared" si="271"/>
        <v>77.625</v>
      </c>
      <c r="C533" s="325">
        <f t="shared" si="246"/>
        <v>165.34168895665465</v>
      </c>
      <c r="D533" s="326">
        <f t="shared" si="247"/>
        <v>1.5647482084833031</v>
      </c>
      <c r="E533" s="326">
        <f t="shared" si="248"/>
        <v>1.0188529045065449</v>
      </c>
      <c r="F533" s="327">
        <f t="shared" si="249"/>
        <v>0.19267277621320009</v>
      </c>
      <c r="G533" s="326">
        <f t="shared" si="250"/>
        <v>1</v>
      </c>
      <c r="H533" s="327">
        <f t="shared" si="251"/>
        <v>0</v>
      </c>
      <c r="I533" s="325">
        <f t="shared" si="252"/>
        <v>25614.306269737903</v>
      </c>
      <c r="J533" s="328">
        <f t="shared" si="253"/>
        <v>1.5707572861123296</v>
      </c>
      <c r="K533" s="336">
        <f t="shared" si="243"/>
        <v>18.144879429148929</v>
      </c>
      <c r="L533" s="337">
        <f t="shared" si="244"/>
        <v>1.5156564225287417</v>
      </c>
      <c r="M533" s="325">
        <f t="shared" si="254"/>
        <v>1.222540909256721</v>
      </c>
      <c r="N533" s="337">
        <f t="shared" si="255"/>
        <v>0.61292558889848581</v>
      </c>
      <c r="O533" s="343">
        <f t="shared" si="256"/>
        <v>1.09702690314544</v>
      </c>
      <c r="P533" s="691">
        <f t="shared" si="257"/>
        <v>0.42374695758695391</v>
      </c>
      <c r="Q533" s="336">
        <f t="shared" si="272"/>
        <v>5.2045850661844701</v>
      </c>
      <c r="R533" s="692">
        <f t="shared" si="258"/>
        <v>0.64883187083591032</v>
      </c>
      <c r="S533" s="329">
        <f t="shared" si="259"/>
        <v>0.96452317639855134</v>
      </c>
      <c r="T533" s="330">
        <f t="shared" si="260"/>
        <v>0.48442533795748216</v>
      </c>
      <c r="U533" s="331">
        <f t="shared" si="261"/>
        <v>-7.8232026689673875</v>
      </c>
      <c r="V533" s="332">
        <f t="shared" si="262"/>
        <v>-157.54117086839719</v>
      </c>
      <c r="W533" s="334">
        <f t="shared" si="263"/>
        <v>22.458829131602812</v>
      </c>
      <c r="Y533" s="307">
        <f t="shared" si="264"/>
        <v>77625</v>
      </c>
      <c r="Z533" s="307">
        <f t="shared" si="265"/>
        <v>6025640625</v>
      </c>
      <c r="AB533" s="333">
        <f t="shared" si="266"/>
        <v>32.967386161108159</v>
      </c>
      <c r="AC533" s="334">
        <f t="shared" si="267"/>
        <v>-38.275096374055138</v>
      </c>
      <c r="AE533" s="333">
        <f t="shared" si="268"/>
        <v>-15.226012342802072</v>
      </c>
      <c r="AF533" s="334">
        <f t="shared" si="269"/>
        <v>-106.36965891837227</v>
      </c>
      <c r="AH533">
        <f t="shared" si="270"/>
        <v>0</v>
      </c>
      <c r="AI533">
        <f t="shared" si="245"/>
        <v>0</v>
      </c>
    </row>
    <row r="534" spans="1:35" x14ac:dyDescent="0.25">
      <c r="A534" s="335">
        <v>78077</v>
      </c>
      <c r="B534" s="352">
        <f t="shared" si="271"/>
        <v>78.076999999999998</v>
      </c>
      <c r="C534" s="325">
        <f t="shared" si="246"/>
        <v>166.30441639740584</v>
      </c>
      <c r="D534" s="326">
        <f t="shared" si="247"/>
        <v>1.5647832211424544</v>
      </c>
      <c r="E534" s="326">
        <f t="shared" si="248"/>
        <v>1.0190710390134514</v>
      </c>
      <c r="F534" s="327">
        <f t="shared" si="249"/>
        <v>0.19376688985559187</v>
      </c>
      <c r="G534" s="326">
        <f t="shared" si="250"/>
        <v>1</v>
      </c>
      <c r="H534" s="327">
        <f t="shared" si="251"/>
        <v>0</v>
      </c>
      <c r="I534" s="325">
        <f t="shared" si="252"/>
        <v>25763.454951429703</v>
      </c>
      <c r="J534" s="328">
        <f t="shared" si="253"/>
        <v>1.5707575121249644</v>
      </c>
      <c r="K534" s="336">
        <f t="shared" si="243"/>
        <v>18.250214653377785</v>
      </c>
      <c r="L534" s="337">
        <f t="shared" si="244"/>
        <v>1.5159749950413504</v>
      </c>
      <c r="M534" s="325">
        <f t="shared" si="254"/>
        <v>1.2249012602152323</v>
      </c>
      <c r="N534" s="337">
        <f t="shared" si="255"/>
        <v>0.61566024482750492</v>
      </c>
      <c r="O534" s="343">
        <f t="shared" si="256"/>
        <v>1.0981094932699984</v>
      </c>
      <c r="P534" s="691">
        <f t="shared" si="257"/>
        <v>0.42592728807422281</v>
      </c>
      <c r="Q534" s="336">
        <f t="shared" si="272"/>
        <v>5.2155816408274989</v>
      </c>
      <c r="R534" s="692">
        <f t="shared" si="258"/>
        <v>0.65164246651109381</v>
      </c>
      <c r="S534" s="329">
        <f t="shared" si="259"/>
        <v>0.9642325335037748</v>
      </c>
      <c r="T534" s="330">
        <f t="shared" si="260"/>
        <v>0.48765190597236469</v>
      </c>
      <c r="U534" s="331">
        <f t="shared" si="261"/>
        <v>-7.8958250345491177</v>
      </c>
      <c r="V534" s="332">
        <f t="shared" si="262"/>
        <v>-157.83991344940884</v>
      </c>
      <c r="W534" s="334">
        <f t="shared" si="263"/>
        <v>22.16008655059116</v>
      </c>
      <c r="Y534" s="307">
        <f t="shared" si="264"/>
        <v>78077</v>
      </c>
      <c r="Z534" s="307">
        <f t="shared" si="265"/>
        <v>6096017929</v>
      </c>
      <c r="AB534" s="333">
        <f t="shared" si="266"/>
        <v>32.950480254685814</v>
      </c>
      <c r="AC534" s="334">
        <f t="shared" si="267"/>
        <v>-38.413540706495283</v>
      </c>
      <c r="AE534" s="333">
        <f t="shared" si="268"/>
        <v>-15.271963426018951</v>
      </c>
      <c r="AF534" s="334">
        <f t="shared" si="269"/>
        <v>-106.49384563166102</v>
      </c>
      <c r="AH534">
        <f t="shared" si="270"/>
        <v>0</v>
      </c>
      <c r="AI534">
        <f t="shared" si="245"/>
        <v>0</v>
      </c>
    </row>
    <row r="535" spans="1:35" x14ac:dyDescent="0.25">
      <c r="A535" s="335">
        <v>78529</v>
      </c>
      <c r="B535" s="352">
        <f t="shared" si="271"/>
        <v>78.528999999999996</v>
      </c>
      <c r="C535" s="325">
        <f t="shared" si="246"/>
        <v>167.26714403968057</v>
      </c>
      <c r="D535" s="326">
        <f t="shared" si="247"/>
        <v>1.5648178307618876</v>
      </c>
      <c r="E535" s="326">
        <f t="shared" si="248"/>
        <v>1.0192903929116786</v>
      </c>
      <c r="F535" s="327">
        <f t="shared" si="249"/>
        <v>0.19486053389459423</v>
      </c>
      <c r="G535" s="326">
        <f t="shared" si="250"/>
        <v>1</v>
      </c>
      <c r="H535" s="327">
        <f t="shared" si="251"/>
        <v>0</v>
      </c>
      <c r="I535" s="325">
        <f t="shared" si="252"/>
        <v>25912.603633122813</v>
      </c>
      <c r="J535" s="328">
        <f t="shared" si="253"/>
        <v>1.5707577355358164</v>
      </c>
      <c r="K535" s="336">
        <f t="shared" ref="K535:K598" si="273">SQRT(1+(A535/Zero2)^2)</f>
        <v>18.355551708534534</v>
      </c>
      <c r="L535" s="337">
        <f t="shared" ref="L535:L598" si="274">ATAN(A535/Zero2)</f>
        <v>1.5162899111997028</v>
      </c>
      <c r="M535" s="325">
        <f t="shared" si="254"/>
        <v>1.2272707361308293</v>
      </c>
      <c r="N535" s="337">
        <f t="shared" si="255"/>
        <v>0.61838436153255294</v>
      </c>
      <c r="O535" s="343">
        <f t="shared" si="256"/>
        <v>1.0991972933353291</v>
      </c>
      <c r="P535" s="691">
        <f t="shared" si="257"/>
        <v>0.42810331344228753</v>
      </c>
      <c r="Q535" s="336">
        <f t="shared" si="272"/>
        <v>5.2266187254630934</v>
      </c>
      <c r="R535" s="692">
        <f t="shared" si="258"/>
        <v>0.6544412892001642</v>
      </c>
      <c r="S535" s="329">
        <f t="shared" si="259"/>
        <v>0.96394317652388484</v>
      </c>
      <c r="T535" s="330">
        <f t="shared" si="260"/>
        <v>0.49088524275675388</v>
      </c>
      <c r="U535" s="331">
        <f t="shared" si="261"/>
        <v>-7.968182824270488</v>
      </c>
      <c r="V535" s="332">
        <f t="shared" si="262"/>
        <v>-158.13822528045014</v>
      </c>
      <c r="W535" s="334">
        <f t="shared" si="263"/>
        <v>21.861774719549857</v>
      </c>
      <c r="Y535" s="307">
        <f t="shared" si="264"/>
        <v>78529</v>
      </c>
      <c r="Z535" s="307">
        <f t="shared" si="265"/>
        <v>6166803841</v>
      </c>
      <c r="AB535" s="333">
        <f t="shared" si="266"/>
        <v>32.93354463660841</v>
      </c>
      <c r="AC535" s="334">
        <f t="shared" si="267"/>
        <v>-38.551590530478208</v>
      </c>
      <c r="AE535" s="333">
        <f t="shared" si="268"/>
        <v>-15.317624238965074</v>
      </c>
      <c r="AF535" s="334">
        <f t="shared" si="269"/>
        <v>-106.61842398069288</v>
      </c>
      <c r="AH535">
        <f t="shared" si="270"/>
        <v>0</v>
      </c>
      <c r="AI535">
        <f t="shared" si="245"/>
        <v>0</v>
      </c>
    </row>
    <row r="536" spans="1:35" x14ac:dyDescent="0.25">
      <c r="A536" s="335">
        <v>78981</v>
      </c>
      <c r="B536" s="352">
        <f t="shared" si="271"/>
        <v>78.980999999999995</v>
      </c>
      <c r="C536" s="325">
        <f t="shared" si="246"/>
        <v>168.22987188001903</v>
      </c>
      <c r="D536" s="326">
        <f t="shared" si="247"/>
        <v>1.5648520442609364</v>
      </c>
      <c r="E536" s="326">
        <f t="shared" si="248"/>
        <v>1.0195109654141483</v>
      </c>
      <c r="F536" s="327">
        <f t="shared" si="249"/>
        <v>0.19595370601804715</v>
      </c>
      <c r="G536" s="326">
        <f t="shared" si="250"/>
        <v>1</v>
      </c>
      <c r="H536" s="327">
        <f t="shared" si="251"/>
        <v>0</v>
      </c>
      <c r="I536" s="325">
        <f t="shared" si="252"/>
        <v>26061.752314817193</v>
      </c>
      <c r="J536" s="328">
        <f t="shared" si="253"/>
        <v>1.5707579563895544</v>
      </c>
      <c r="K536" s="336">
        <f t="shared" si="273"/>
        <v>18.460890563277587</v>
      </c>
      <c r="L536" s="337">
        <f t="shared" si="274"/>
        <v>1.5166012335308707</v>
      </c>
      <c r="M536" s="325">
        <f t="shared" si="254"/>
        <v>1.2296492842534328</v>
      </c>
      <c r="N536" s="337">
        <f t="shared" si="255"/>
        <v>0.62109795962585279</v>
      </c>
      <c r="O536" s="343">
        <f t="shared" si="256"/>
        <v>1.1002902878890357</v>
      </c>
      <c r="P536" s="691">
        <f t="shared" si="257"/>
        <v>0.43027502588317862</v>
      </c>
      <c r="Q536" s="336">
        <f t="shared" si="272"/>
        <v>5.2376960640404642</v>
      </c>
      <c r="R536" s="692">
        <f t="shared" si="258"/>
        <v>0.65722837044760773</v>
      </c>
      <c r="S536" s="329">
        <f t="shared" si="259"/>
        <v>0.96365515980833938</v>
      </c>
      <c r="T536" s="330">
        <f t="shared" si="260"/>
        <v>0.4941253750087457</v>
      </c>
      <c r="U536" s="331">
        <f t="shared" si="261"/>
        <v>-8.0402788691671798</v>
      </c>
      <c r="V536" s="332">
        <f t="shared" si="262"/>
        <v>-158.43610827587977</v>
      </c>
      <c r="W536" s="334">
        <f t="shared" si="263"/>
        <v>21.563891724120225</v>
      </c>
      <c r="Y536" s="307">
        <f t="shared" si="264"/>
        <v>78981</v>
      </c>
      <c r="Z536" s="307">
        <f t="shared" si="265"/>
        <v>6237998361</v>
      </c>
      <c r="AB536" s="333">
        <f t="shared" si="266"/>
        <v>32.916579869298509</v>
      </c>
      <c r="AC536" s="334">
        <f t="shared" si="267"/>
        <v>-38.689243447019301</v>
      </c>
      <c r="AE536" s="333">
        <f t="shared" si="268"/>
        <v>-15.362998635537647</v>
      </c>
      <c r="AF536" s="334">
        <f t="shared" si="269"/>
        <v>-106.74339602408169</v>
      </c>
      <c r="AH536">
        <f t="shared" si="270"/>
        <v>0</v>
      </c>
      <c r="AI536">
        <f t="shared" si="245"/>
        <v>0</v>
      </c>
    </row>
    <row r="537" spans="1:35" x14ac:dyDescent="0.25">
      <c r="A537" s="335">
        <v>79433</v>
      </c>
      <c r="B537" s="352">
        <f t="shared" si="271"/>
        <v>79.433000000000007</v>
      </c>
      <c r="C537" s="325">
        <f t="shared" si="246"/>
        <v>169.19259991504023</v>
      </c>
      <c r="D537" s="326">
        <f t="shared" si="247"/>
        <v>1.5648858684014506</v>
      </c>
      <c r="E537" s="326">
        <f t="shared" si="248"/>
        <v>1.0197327557300928</v>
      </c>
      <c r="F537" s="327">
        <f t="shared" si="249"/>
        <v>0.19704640392029718</v>
      </c>
      <c r="G537" s="326">
        <f t="shared" si="250"/>
        <v>1</v>
      </c>
      <c r="H537" s="327">
        <f t="shared" si="251"/>
        <v>0</v>
      </c>
      <c r="I537" s="325">
        <f t="shared" si="252"/>
        <v>26210.900996512835</v>
      </c>
      <c r="J537" s="328">
        <f t="shared" si="253"/>
        <v>1.5707581747298311</v>
      </c>
      <c r="K537" s="336">
        <f t="shared" si="273"/>
        <v>18.566231186976111</v>
      </c>
      <c r="L537" s="337">
        <f t="shared" si="274"/>
        <v>1.5169090231456901</v>
      </c>
      <c r="M537" s="325">
        <f t="shared" si="254"/>
        <v>1.2320368520391265</v>
      </c>
      <c r="N537" s="337">
        <f t="shared" si="255"/>
        <v>0.62380106018039705</v>
      </c>
      <c r="O537" s="343">
        <f t="shared" si="256"/>
        <v>1.1013884614664182</v>
      </c>
      <c r="P537" s="691">
        <f t="shared" si="257"/>
        <v>0.43244241778257553</v>
      </c>
      <c r="Q537" s="336">
        <f t="shared" si="272"/>
        <v>5.2488134017405086</v>
      </c>
      <c r="R537" s="692">
        <f t="shared" si="258"/>
        <v>0.66000374225243874</v>
      </c>
      <c r="S537" s="329">
        <f t="shared" si="259"/>
        <v>0.96336853807327971</v>
      </c>
      <c r="T537" s="330">
        <f t="shared" si="260"/>
        <v>0.49737232905559059</v>
      </c>
      <c r="U537" s="331">
        <f t="shared" si="261"/>
        <v>-8.1121159567891858</v>
      </c>
      <c r="V537" s="332">
        <f t="shared" si="262"/>
        <v>-158.73356444184645</v>
      </c>
      <c r="W537" s="334">
        <f t="shared" si="263"/>
        <v>21.266435558153546</v>
      </c>
      <c r="Y537" s="307">
        <f t="shared" si="264"/>
        <v>79433</v>
      </c>
      <c r="Z537" s="307">
        <f t="shared" si="265"/>
        <v>6309601489</v>
      </c>
      <c r="AB537" s="333">
        <f t="shared" si="266"/>
        <v>32.899586511792648</v>
      </c>
      <c r="AC537" s="334">
        <f t="shared" si="267"/>
        <v>-38.82649716462025</v>
      </c>
      <c r="AE537" s="333">
        <f t="shared" si="268"/>
        <v>-15.408090416359725</v>
      </c>
      <c r="AF537" s="334">
        <f t="shared" si="269"/>
        <v>-106.86876378979747</v>
      </c>
      <c r="AH537">
        <f t="shared" si="270"/>
        <v>0</v>
      </c>
      <c r="AI537">
        <f t="shared" si="245"/>
        <v>0</v>
      </c>
    </row>
    <row r="538" spans="1:35" x14ac:dyDescent="0.25">
      <c r="A538" s="335">
        <v>79895.5</v>
      </c>
      <c r="B538" s="352">
        <f t="shared" si="271"/>
        <v>79.895499999999998</v>
      </c>
      <c r="C538" s="325">
        <f t="shared" si="246"/>
        <v>170.17769240558451</v>
      </c>
      <c r="D538" s="326">
        <f t="shared" si="247"/>
        <v>1.5649200821418563</v>
      </c>
      <c r="E538" s="326">
        <f t="shared" si="248"/>
        <v>1.019960958002909</v>
      </c>
      <c r="F538" s="327">
        <f t="shared" si="249"/>
        <v>0.19816399201981227</v>
      </c>
      <c r="G538" s="326">
        <f t="shared" si="250"/>
        <v>1</v>
      </c>
      <c r="H538" s="327">
        <f t="shared" si="251"/>
        <v>0</v>
      </c>
      <c r="I538" s="325">
        <f t="shared" si="252"/>
        <v>26363.514415284539</v>
      </c>
      <c r="J538" s="328">
        <f t="shared" si="253"/>
        <v>1.5707583955849491</v>
      </c>
      <c r="K538" s="336">
        <f t="shared" si="273"/>
        <v>18.674020682530266</v>
      </c>
      <c r="L538" s="337">
        <f t="shared" si="274"/>
        <v>1.5172203682756331</v>
      </c>
      <c r="M538" s="325">
        <f t="shared" si="254"/>
        <v>1.2344891650320113</v>
      </c>
      <c r="N538" s="337">
        <f t="shared" si="255"/>
        <v>0.62655611029562452</v>
      </c>
      <c r="O538" s="343">
        <f t="shared" si="256"/>
        <v>1.1025174904542527</v>
      </c>
      <c r="P538" s="691">
        <f t="shared" si="257"/>
        <v>0.43465567838987806</v>
      </c>
      <c r="Q538" s="336">
        <f t="shared" si="272"/>
        <v>5.2602301353586585</v>
      </c>
      <c r="R538" s="692">
        <f t="shared" si="258"/>
        <v>0.66283149941388686</v>
      </c>
      <c r="S538" s="329">
        <f t="shared" si="259"/>
        <v>0.96307675951564731</v>
      </c>
      <c r="T538" s="330">
        <f t="shared" si="260"/>
        <v>0.50070179854098817</v>
      </c>
      <c r="U538" s="331">
        <f t="shared" si="261"/>
        <v>-8.1853566393196413</v>
      </c>
      <c r="V538" s="332">
        <f t="shared" si="262"/>
        <v>-159.03749090849081</v>
      </c>
      <c r="W538" s="334">
        <f t="shared" si="263"/>
        <v>20.96250909150919</v>
      </c>
      <c r="Y538" s="307">
        <f t="shared" si="264"/>
        <v>79895.5</v>
      </c>
      <c r="Z538" s="307">
        <f t="shared" si="265"/>
        <v>6383290920.25</v>
      </c>
      <c r="AB538" s="333">
        <f t="shared" si="266"/>
        <v>32.882169382480406</v>
      </c>
      <c r="AC538" s="334">
        <f t="shared" si="267"/>
        <v>-38.966523800878271</v>
      </c>
      <c r="AE538" s="333">
        <f t="shared" si="268"/>
        <v>-15.453941053465961</v>
      </c>
      <c r="AF538" s="334">
        <f t="shared" si="269"/>
        <v>-106.99745556106575</v>
      </c>
      <c r="AH538">
        <f t="shared" si="270"/>
        <v>0</v>
      </c>
      <c r="AI538">
        <f t="shared" ref="AI538:AI601" si="275">IF(AH538&gt;0,W538,0)</f>
        <v>0</v>
      </c>
    </row>
    <row r="539" spans="1:35" x14ac:dyDescent="0.25">
      <c r="A539" s="335">
        <v>80358</v>
      </c>
      <c r="B539" s="352">
        <f t="shared" si="271"/>
        <v>80.358000000000004</v>
      </c>
      <c r="C539" s="325">
        <f t="shared" si="246"/>
        <v>171.16278509304243</v>
      </c>
      <c r="D539" s="326">
        <f t="shared" si="247"/>
        <v>1.5649539020618166</v>
      </c>
      <c r="E539" s="326">
        <f t="shared" si="248"/>
        <v>1.0201904336393346</v>
      </c>
      <c r="F539" s="327">
        <f t="shared" si="249"/>
        <v>0.19928107874666132</v>
      </c>
      <c r="G539" s="326">
        <f t="shared" si="250"/>
        <v>1</v>
      </c>
      <c r="H539" s="327">
        <f t="shared" si="251"/>
        <v>0</v>
      </c>
      <c r="I539" s="325">
        <f t="shared" si="252"/>
        <v>26516.127834057515</v>
      </c>
      <c r="J539" s="328">
        <f t="shared" si="253"/>
        <v>1.5707586138978065</v>
      </c>
      <c r="K539" s="336">
        <f t="shared" si="273"/>
        <v>18.781811967487872</v>
      </c>
      <c r="L539" s="337">
        <f t="shared" si="274"/>
        <v>1.5175281397339639</v>
      </c>
      <c r="M539" s="325">
        <f t="shared" si="254"/>
        <v>1.2369508109745149</v>
      </c>
      <c r="N539" s="337">
        <f t="shared" si="255"/>
        <v>0.62930021556400717</v>
      </c>
      <c r="O539" s="343">
        <f t="shared" si="256"/>
        <v>1.1036519090836454</v>
      </c>
      <c r="P539" s="691">
        <f t="shared" si="257"/>
        <v>0.4368643998779515</v>
      </c>
      <c r="Q539" s="336">
        <f t="shared" si="272"/>
        <v>5.2716882122385202</v>
      </c>
      <c r="R539" s="692">
        <f t="shared" si="258"/>
        <v>0.66564706597996826</v>
      </c>
      <c r="S539" s="329">
        <f t="shared" si="259"/>
        <v>0.96278655858333095</v>
      </c>
      <c r="T539" s="330">
        <f t="shared" si="260"/>
        <v>0.50403846499703298</v>
      </c>
      <c r="U539" s="331">
        <f t="shared" si="261"/>
        <v>-8.2583319648079474</v>
      </c>
      <c r="V539" s="332">
        <f t="shared" si="262"/>
        <v>-159.34097501328498</v>
      </c>
      <c r="W539" s="334">
        <f t="shared" si="263"/>
        <v>20.659024986715025</v>
      </c>
      <c r="Y539" s="307">
        <f t="shared" si="264"/>
        <v>80358</v>
      </c>
      <c r="Z539" s="307">
        <f t="shared" si="265"/>
        <v>6457408164</v>
      </c>
      <c r="AB539" s="333">
        <f t="shared" si="266"/>
        <v>32.864723492344396</v>
      </c>
      <c r="AC539" s="334">
        <f t="shared" si="267"/>
        <v>-39.106127954244144</v>
      </c>
      <c r="AE539" s="333">
        <f t="shared" si="268"/>
        <v>-15.499503677600295</v>
      </c>
      <c r="AF539" s="334">
        <f t="shared" si="269"/>
        <v>-107.12656585066618</v>
      </c>
      <c r="AH539">
        <f t="shared" si="270"/>
        <v>0</v>
      </c>
      <c r="AI539">
        <f t="shared" si="275"/>
        <v>0</v>
      </c>
    </row>
    <row r="540" spans="1:35" x14ac:dyDescent="0.25">
      <c r="A540" s="335">
        <v>80820.5</v>
      </c>
      <c r="B540" s="352">
        <f t="shared" si="271"/>
        <v>80.820499999999996</v>
      </c>
      <c r="C540" s="325">
        <f t="shared" si="246"/>
        <v>172.14787797403352</v>
      </c>
      <c r="D540" s="326">
        <f t="shared" si="247"/>
        <v>1.5649873349220058</v>
      </c>
      <c r="E540" s="326">
        <f t="shared" si="248"/>
        <v>1.0204211817802948</v>
      </c>
      <c r="F540" s="327">
        <f t="shared" si="249"/>
        <v>0.20039766165205311</v>
      </c>
      <c r="G540" s="326">
        <f t="shared" si="250"/>
        <v>1</v>
      </c>
      <c r="H540" s="327">
        <f t="shared" si="251"/>
        <v>0</v>
      </c>
      <c r="I540" s="325">
        <f t="shared" si="252"/>
        <v>26668.741252831744</v>
      </c>
      <c r="J540" s="328">
        <f t="shared" si="253"/>
        <v>1.5707588297120476</v>
      </c>
      <c r="K540" s="336">
        <f t="shared" si="273"/>
        <v>18.889605011215888</v>
      </c>
      <c r="L540" s="337">
        <f t="shared" si="274"/>
        <v>1.517832398641066</v>
      </c>
      <c r="M540" s="325">
        <f t="shared" si="254"/>
        <v>1.239421734257437</v>
      </c>
      <c r="N540" s="337">
        <f t="shared" si="255"/>
        <v>0.63203339999519936</v>
      </c>
      <c r="O540" s="343">
        <f t="shared" si="256"/>
        <v>1.1047917007520742</v>
      </c>
      <c r="P540" s="691">
        <f t="shared" si="257"/>
        <v>0.43906857471230476</v>
      </c>
      <c r="Q540" s="336">
        <f t="shared" si="272"/>
        <v>5.2831873634323792</v>
      </c>
      <c r="R540" s="692">
        <f t="shared" si="258"/>
        <v>0.66845047762990917</v>
      </c>
      <c r="S540" s="329">
        <f t="shared" si="259"/>
        <v>0.96249799508543732</v>
      </c>
      <c r="T540" s="330">
        <f t="shared" si="260"/>
        <v>0.5073823553802923</v>
      </c>
      <c r="U540" s="331">
        <f t="shared" si="261"/>
        <v>-8.3310447867651476</v>
      </c>
      <c r="V540" s="332">
        <f t="shared" si="262"/>
        <v>-159.64401918056606</v>
      </c>
      <c r="W540" s="334">
        <f t="shared" si="263"/>
        <v>20.355980819433938</v>
      </c>
      <c r="Y540" s="307">
        <f t="shared" si="264"/>
        <v>80820.5</v>
      </c>
      <c r="Z540" s="307">
        <f t="shared" si="265"/>
        <v>6531953220.25</v>
      </c>
      <c r="AB540" s="333">
        <f t="shared" si="266"/>
        <v>32.847249428901357</v>
      </c>
      <c r="AC540" s="334">
        <f t="shared" si="267"/>
        <v>-39.245307500930323</v>
      </c>
      <c r="AE540" s="333">
        <f t="shared" si="268"/>
        <v>-15.544782195573495</v>
      </c>
      <c r="AF540" s="334">
        <f t="shared" si="269"/>
        <v>-107.25609673075982</v>
      </c>
      <c r="AH540">
        <f t="shared" si="270"/>
        <v>0</v>
      </c>
      <c r="AI540">
        <f t="shared" si="275"/>
        <v>0</v>
      </c>
    </row>
    <row r="541" spans="1:35" x14ac:dyDescent="0.25">
      <c r="A541" s="335">
        <v>81283</v>
      </c>
      <c r="B541" s="352">
        <f t="shared" si="271"/>
        <v>81.283000000000001</v>
      </c>
      <c r="C541" s="325">
        <f t="shared" si="246"/>
        <v>173.13297104525429</v>
      </c>
      <c r="D541" s="326">
        <f t="shared" si="247"/>
        <v>1.5650203873292337</v>
      </c>
      <c r="E541" s="326">
        <f t="shared" si="248"/>
        <v>1.020653201562731</v>
      </c>
      <c r="F541" s="327">
        <f t="shared" si="249"/>
        <v>0.20151373829442998</v>
      </c>
      <c r="G541" s="326">
        <f t="shared" si="250"/>
        <v>1</v>
      </c>
      <c r="H541" s="327">
        <f t="shared" si="251"/>
        <v>0</v>
      </c>
      <c r="I541" s="325">
        <f t="shared" si="252"/>
        <v>26821.354671607198</v>
      </c>
      <c r="J541" s="328">
        <f t="shared" si="253"/>
        <v>1.5707590430703244</v>
      </c>
      <c r="K541" s="336">
        <f t="shared" si="273"/>
        <v>18.997399783776014</v>
      </c>
      <c r="L541" s="337">
        <f t="shared" si="274"/>
        <v>1.5181332047327247</v>
      </c>
      <c r="M541" s="325">
        <f t="shared" si="254"/>
        <v>1.2419018795053982</v>
      </c>
      <c r="N541" s="337">
        <f t="shared" si="255"/>
        <v>0.63475568806078886</v>
      </c>
      <c r="O541" s="343">
        <f t="shared" si="256"/>
        <v>1.1059368488469852</v>
      </c>
      <c r="P541" s="691">
        <f t="shared" si="257"/>
        <v>0.4412681955661476</v>
      </c>
      <c r="Q541" s="336">
        <f t="shared" si="272"/>
        <v>5.2947273213691028</v>
      </c>
      <c r="R541" s="692">
        <f t="shared" si="258"/>
        <v>0.67124177048783551</v>
      </c>
      <c r="S541" s="329">
        <f t="shared" si="259"/>
        <v>0.96221112923174767</v>
      </c>
      <c r="T541" s="330">
        <f t="shared" si="260"/>
        <v>0.51073349621177133</v>
      </c>
      <c r="U541" s="331">
        <f t="shared" si="261"/>
        <v>-8.4034979166462804</v>
      </c>
      <c r="V541" s="332">
        <f t="shared" si="262"/>
        <v>-159.94662591981719</v>
      </c>
      <c r="W541" s="334">
        <f t="shared" si="263"/>
        <v>20.053374080182806</v>
      </c>
      <c r="Y541" s="307">
        <f t="shared" si="264"/>
        <v>81283</v>
      </c>
      <c r="Z541" s="307">
        <f t="shared" si="265"/>
        <v>6606926089</v>
      </c>
      <c r="AB541" s="333">
        <f t="shared" si="266"/>
        <v>32.82974777571016</v>
      </c>
      <c r="AC541" s="334">
        <f t="shared" si="267"/>
        <v>-39.384060422890904</v>
      </c>
      <c r="AE541" s="333">
        <f t="shared" si="268"/>
        <v>-15.589780461289852</v>
      </c>
      <c r="AF541" s="334">
        <f t="shared" si="269"/>
        <v>-107.38605023932161</v>
      </c>
      <c r="AH541">
        <f t="shared" si="270"/>
        <v>0</v>
      </c>
      <c r="AI541">
        <f t="shared" si="275"/>
        <v>0</v>
      </c>
    </row>
    <row r="542" spans="1:35" x14ac:dyDescent="0.25">
      <c r="A542" s="335">
        <v>81756.25</v>
      </c>
      <c r="B542" s="352">
        <f t="shared" si="271"/>
        <v>81.756249999999994</v>
      </c>
      <c r="C542" s="325">
        <f t="shared" si="246"/>
        <v>174.14096106789245</v>
      </c>
      <c r="D542" s="326">
        <f t="shared" si="247"/>
        <v>1.5650538208965077</v>
      </c>
      <c r="E542" s="326">
        <f t="shared" si="248"/>
        <v>1.0208919296535233</v>
      </c>
      <c r="F542" s="327">
        <f t="shared" si="249"/>
        <v>0.20265522958781607</v>
      </c>
      <c r="G542" s="326">
        <f t="shared" si="250"/>
        <v>1</v>
      </c>
      <c r="H542" s="327">
        <f t="shared" si="251"/>
        <v>0</v>
      </c>
      <c r="I542" s="325">
        <f t="shared" si="252"/>
        <v>26977.51532119868</v>
      </c>
      <c r="J542" s="328">
        <f t="shared" si="253"/>
        <v>1.5707592588889638</v>
      </c>
      <c r="K542" s="336">
        <f t="shared" si="273"/>
        <v>19.107701815507774</v>
      </c>
      <c r="L542" s="337">
        <f t="shared" si="274"/>
        <v>1.5184374893054544</v>
      </c>
      <c r="M542" s="325">
        <f t="shared" si="254"/>
        <v>1.2444491598334344</v>
      </c>
      <c r="N542" s="337">
        <f t="shared" si="255"/>
        <v>0.63752999772187513</v>
      </c>
      <c r="O542" s="343">
        <f t="shared" si="256"/>
        <v>1.1071141411829946</v>
      </c>
      <c r="P542" s="691">
        <f t="shared" si="257"/>
        <v>0.44351422133166568</v>
      </c>
      <c r="Q542" s="336">
        <f t="shared" si="272"/>
        <v>5.3065774681747069</v>
      </c>
      <c r="R542" s="692">
        <f t="shared" si="258"/>
        <v>0.67408543559507239</v>
      </c>
      <c r="S542" s="329">
        <f t="shared" si="259"/>
        <v>0.96191941620421562</v>
      </c>
      <c r="T542" s="330">
        <f t="shared" si="260"/>
        <v>0.514170060817985</v>
      </c>
      <c r="U542" s="331">
        <f t="shared" si="261"/>
        <v>-8.4773691659307921</v>
      </c>
      <c r="V542" s="332">
        <f t="shared" si="262"/>
        <v>-160.25581612727041</v>
      </c>
      <c r="W542" s="334">
        <f t="shared" si="263"/>
        <v>19.744183872729593</v>
      </c>
      <c r="Y542" s="307">
        <f t="shared" si="264"/>
        <v>81756.25</v>
      </c>
      <c r="Z542" s="307">
        <f t="shared" si="265"/>
        <v>6684084414.0625</v>
      </c>
      <c r="AB542" s="333">
        <f t="shared" si="266"/>
        <v>32.811811372756623</v>
      </c>
      <c r="AC542" s="334">
        <f t="shared" si="267"/>
        <v>-39.525594801404061</v>
      </c>
      <c r="AE542" s="333">
        <f t="shared" si="268"/>
        <v>-15.635538499793425</v>
      </c>
      <c r="AF542" s="334">
        <f t="shared" si="269"/>
        <v>-107.51946385627105</v>
      </c>
      <c r="AH542">
        <f t="shared" si="270"/>
        <v>0</v>
      </c>
      <c r="AI542">
        <f t="shared" si="275"/>
        <v>0</v>
      </c>
    </row>
    <row r="543" spans="1:35" x14ac:dyDescent="0.25">
      <c r="A543" s="335">
        <v>82229.5</v>
      </c>
      <c r="B543" s="352">
        <f t="shared" si="271"/>
        <v>82.229500000000002</v>
      </c>
      <c r="C543" s="325">
        <f t="shared" si="246"/>
        <v>175.14895128294552</v>
      </c>
      <c r="D543" s="326">
        <f t="shared" si="247"/>
        <v>1.5650868696404048</v>
      </c>
      <c r="E543" s="326">
        <f t="shared" si="248"/>
        <v>1.0211319873459312</v>
      </c>
      <c r="F543" s="327">
        <f t="shared" si="249"/>
        <v>0.20379618566141972</v>
      </c>
      <c r="G543" s="326">
        <f t="shared" si="250"/>
        <v>1</v>
      </c>
      <c r="H543" s="327">
        <f t="shared" si="251"/>
        <v>0</v>
      </c>
      <c r="I543" s="325">
        <f t="shared" si="252"/>
        <v>27133.675970791406</v>
      </c>
      <c r="J543" s="328">
        <f t="shared" si="253"/>
        <v>1.5707594722234297</v>
      </c>
      <c r="K543" s="336">
        <f t="shared" si="273"/>
        <v>19.218005596096074</v>
      </c>
      <c r="L543" s="337">
        <f t="shared" si="274"/>
        <v>1.5187382809586381</v>
      </c>
      <c r="M543" s="325">
        <f t="shared" si="254"/>
        <v>1.2470059792561272</v>
      </c>
      <c r="N543" s="337">
        <f t="shared" si="255"/>
        <v>0.64029295187256907</v>
      </c>
      <c r="O543" s="343">
        <f t="shared" si="256"/>
        <v>1.1082970066203892</v>
      </c>
      <c r="P543" s="691">
        <f t="shared" si="257"/>
        <v>0.44575546409765976</v>
      </c>
      <c r="Q543" s="336">
        <f t="shared" si="272"/>
        <v>5.318469778349102</v>
      </c>
      <c r="R543" s="692">
        <f t="shared" si="258"/>
        <v>0.67691648989848219</v>
      </c>
      <c r="S543" s="329">
        <f t="shared" si="259"/>
        <v>0.96162960948605847</v>
      </c>
      <c r="T543" s="330">
        <f t="shared" si="260"/>
        <v>0.51761427159021012</v>
      </c>
      <c r="U543" s="331">
        <f t="shared" si="261"/>
        <v>-8.5509743371693432</v>
      </c>
      <c r="V543" s="332">
        <f t="shared" si="262"/>
        <v>-160.56455390909065</v>
      </c>
      <c r="W543" s="334">
        <f t="shared" si="263"/>
        <v>19.435446090909352</v>
      </c>
      <c r="Y543" s="307">
        <f t="shared" si="264"/>
        <v>82229.5</v>
      </c>
      <c r="Z543" s="307">
        <f t="shared" si="265"/>
        <v>6761690670.25</v>
      </c>
      <c r="AB543" s="333">
        <f t="shared" si="266"/>
        <v>32.793847305888683</v>
      </c>
      <c r="AC543" s="334">
        <f t="shared" si="267"/>
        <v>-39.666678544312518</v>
      </c>
      <c r="AE543" s="333">
        <f t="shared" si="268"/>
        <v>-15.681011106642016</v>
      </c>
      <c r="AF543" s="334">
        <f t="shared" si="269"/>
        <v>-107.65332418334219</v>
      </c>
      <c r="AH543">
        <f t="shared" si="270"/>
        <v>0</v>
      </c>
      <c r="AI543">
        <f t="shared" si="275"/>
        <v>0</v>
      </c>
    </row>
    <row r="544" spans="1:35" x14ac:dyDescent="0.25">
      <c r="A544" s="335">
        <v>82702.75</v>
      </c>
      <c r="B544" s="352">
        <f t="shared" si="271"/>
        <v>82.702749999999995</v>
      </c>
      <c r="C544" s="325">
        <f t="shared" si="246"/>
        <v>176.15694168711036</v>
      </c>
      <c r="D544" s="326">
        <f t="shared" si="247"/>
        <v>1.5651195401668636</v>
      </c>
      <c r="E544" s="326">
        <f t="shared" si="248"/>
        <v>1.0213733737024491</v>
      </c>
      <c r="F544" s="327">
        <f t="shared" si="249"/>
        <v>0.20493660392312804</v>
      </c>
      <c r="G544" s="326">
        <f t="shared" si="250"/>
        <v>1</v>
      </c>
      <c r="H544" s="327">
        <f t="shared" si="251"/>
        <v>0</v>
      </c>
      <c r="I544" s="325">
        <f t="shared" si="252"/>
        <v>27289.836620385358</v>
      </c>
      <c r="J544" s="328">
        <f t="shared" si="253"/>
        <v>1.5707596831163677</v>
      </c>
      <c r="K544" s="336">
        <f t="shared" si="273"/>
        <v>19.328311095599535</v>
      </c>
      <c r="L544" s="337">
        <f t="shared" si="274"/>
        <v>1.5190356394390163</v>
      </c>
      <c r="M544" s="325">
        <f t="shared" si="254"/>
        <v>1.2495722792180599</v>
      </c>
      <c r="N544" s="337">
        <f t="shared" si="255"/>
        <v>0.64304457816332106</v>
      </c>
      <c r="O544" s="343">
        <f t="shared" si="256"/>
        <v>1.1094854273340711</v>
      </c>
      <c r="P544" s="691">
        <f t="shared" si="257"/>
        <v>0.44799191668194294</v>
      </c>
      <c r="Q544" s="336">
        <f t="shared" si="272"/>
        <v>5.3304039697383176</v>
      </c>
      <c r="R544" s="692">
        <f t="shared" si="258"/>
        <v>0.67973497346170852</v>
      </c>
      <c r="S544" s="329">
        <f t="shared" si="259"/>
        <v>0.96134177488345052</v>
      </c>
      <c r="T544" s="330">
        <f t="shared" si="260"/>
        <v>0.52106615547630553</v>
      </c>
      <c r="U544" s="331">
        <f t="shared" si="261"/>
        <v>-8.6243163141114199</v>
      </c>
      <c r="V544" s="332">
        <f t="shared" si="262"/>
        <v>-160.87284220673425</v>
      </c>
      <c r="W544" s="334">
        <f t="shared" si="263"/>
        <v>19.127157793265752</v>
      </c>
      <c r="Y544" s="307">
        <f t="shared" si="264"/>
        <v>82702.75</v>
      </c>
      <c r="Z544" s="307">
        <f t="shared" si="265"/>
        <v>6839744857.5625</v>
      </c>
      <c r="AB544" s="333">
        <f t="shared" si="266"/>
        <v>32.775856187106385</v>
      </c>
      <c r="AC544" s="334">
        <f t="shared" si="267"/>
        <v>-39.807309815077716</v>
      </c>
      <c r="AE544" s="333">
        <f t="shared" si="268"/>
        <v>-15.726202247046505</v>
      </c>
      <c r="AF544" s="334">
        <f t="shared" si="269"/>
        <v>-107.78763329154319</v>
      </c>
      <c r="AH544">
        <f t="shared" si="270"/>
        <v>0</v>
      </c>
      <c r="AI544">
        <f t="shared" si="275"/>
        <v>0</v>
      </c>
    </row>
    <row r="545" spans="1:35" x14ac:dyDescent="0.25">
      <c r="A545" s="335">
        <v>83176</v>
      </c>
      <c r="B545" s="352">
        <f t="shared" si="271"/>
        <v>83.176000000000002</v>
      </c>
      <c r="C545" s="325">
        <f t="shared" si="246"/>
        <v>177.1649322771591</v>
      </c>
      <c r="D545" s="326">
        <f t="shared" si="247"/>
        <v>1.5651518389314867</v>
      </c>
      <c r="E545" s="326">
        <f t="shared" si="248"/>
        <v>1.0216160877812712</v>
      </c>
      <c r="F545" s="327">
        <f t="shared" si="249"/>
        <v>0.20607648178886698</v>
      </c>
      <c r="G545" s="326">
        <f t="shared" si="250"/>
        <v>1</v>
      </c>
      <c r="H545" s="327">
        <f t="shared" si="251"/>
        <v>0</v>
      </c>
      <c r="I545" s="325">
        <f t="shared" si="252"/>
        <v>27445.997269980504</v>
      </c>
      <c r="J545" s="328">
        <f t="shared" si="253"/>
        <v>1.5707598916094527</v>
      </c>
      <c r="K545" s="336">
        <f t="shared" si="273"/>
        <v>19.438618284755922</v>
      </c>
      <c r="L545" s="337">
        <f t="shared" si="274"/>
        <v>1.5193296231396238</v>
      </c>
      <c r="M545" s="325">
        <f t="shared" si="254"/>
        <v>1.2521480014276243</v>
      </c>
      <c r="N545" s="337">
        <f t="shared" si="255"/>
        <v>0.64578490470446803</v>
      </c>
      <c r="O545" s="343">
        <f t="shared" si="256"/>
        <v>1.1106793854916968</v>
      </c>
      <c r="P545" s="691">
        <f t="shared" si="257"/>
        <v>0.45022357212466779</v>
      </c>
      <c r="Q545" s="336">
        <f t="shared" si="272"/>
        <v>5.3423797617204372</v>
      </c>
      <c r="R545" s="692">
        <f t="shared" si="258"/>
        <v>0.68254092677936962</v>
      </c>
      <c r="S545" s="329">
        <f t="shared" si="259"/>
        <v>0.9610559786395082</v>
      </c>
      <c r="T545" s="330">
        <f t="shared" si="260"/>
        <v>0.52452573891291943</v>
      </c>
      <c r="U545" s="331">
        <f t="shared" si="261"/>
        <v>-8.6973979399271766</v>
      </c>
      <c r="V545" s="332">
        <f t="shared" si="262"/>
        <v>-161.18068403910252</v>
      </c>
      <c r="W545" s="334">
        <f t="shared" si="263"/>
        <v>18.819315960897484</v>
      </c>
      <c r="Y545" s="307">
        <f t="shared" si="264"/>
        <v>83176</v>
      </c>
      <c r="Z545" s="307">
        <f t="shared" si="265"/>
        <v>6918246976</v>
      </c>
      <c r="AB545" s="333">
        <f t="shared" si="266"/>
        <v>32.757838623856905</v>
      </c>
      <c r="AC545" s="334">
        <f t="shared" si="267"/>
        <v>-39.947486881016687</v>
      </c>
      <c r="AE545" s="333">
        <f t="shared" si="268"/>
        <v>-15.771115833691738</v>
      </c>
      <c r="AF545" s="334">
        <f t="shared" si="269"/>
        <v>-107.92239321351768</v>
      </c>
      <c r="AH545">
        <f t="shared" si="270"/>
        <v>0</v>
      </c>
      <c r="AI545">
        <f t="shared" si="275"/>
        <v>0</v>
      </c>
    </row>
    <row r="546" spans="1:35" x14ac:dyDescent="0.25">
      <c r="A546" s="335">
        <v>83660.5</v>
      </c>
      <c r="B546" s="352">
        <f t="shared" si="271"/>
        <v>83.660499999999999</v>
      </c>
      <c r="C546" s="325">
        <f t="shared" si="246"/>
        <v>178.19688479792211</v>
      </c>
      <c r="D546" s="326">
        <f t="shared" si="247"/>
        <v>1.5651845269597338</v>
      </c>
      <c r="E546" s="326">
        <f t="shared" si="248"/>
        <v>1.021865946061473</v>
      </c>
      <c r="F546" s="327">
        <f t="shared" si="249"/>
        <v>0.20724289408516303</v>
      </c>
      <c r="G546" s="326">
        <f t="shared" si="250"/>
        <v>1</v>
      </c>
      <c r="H546" s="327">
        <f t="shared" si="251"/>
        <v>0</v>
      </c>
      <c r="I546" s="325">
        <f t="shared" si="252"/>
        <v>27605.870137871527</v>
      </c>
      <c r="J546" s="328">
        <f t="shared" si="253"/>
        <v>1.5707601026152123</v>
      </c>
      <c r="K546" s="336">
        <f t="shared" si="273"/>
        <v>19.551549393856057</v>
      </c>
      <c r="L546" s="337">
        <f t="shared" si="274"/>
        <v>1.5196271588784636</v>
      </c>
      <c r="M546" s="325">
        <f t="shared" si="254"/>
        <v>1.2547946534659193</v>
      </c>
      <c r="N546" s="337">
        <f t="shared" si="255"/>
        <v>0.64857869767197485</v>
      </c>
      <c r="O546" s="343">
        <f t="shared" si="256"/>
        <v>1.1119074440076084</v>
      </c>
      <c r="P546" s="691">
        <f t="shared" si="257"/>
        <v>0.45250330142673301</v>
      </c>
      <c r="Q546" s="336">
        <f t="shared" si="272"/>
        <v>5.3546830440555073</v>
      </c>
      <c r="R546" s="692">
        <f t="shared" si="258"/>
        <v>0.68540064476724727</v>
      </c>
      <c r="S546" s="329">
        <f t="shared" si="259"/>
        <v>0.96076556975065286</v>
      </c>
      <c r="T546" s="330">
        <f t="shared" si="260"/>
        <v>0.52807556617511098</v>
      </c>
      <c r="U546" s="331">
        <f t="shared" si="261"/>
        <v>-8.7719500660837006</v>
      </c>
      <c r="V546" s="332">
        <f t="shared" si="262"/>
        <v>-161.4953845412789</v>
      </c>
      <c r="W546" s="334">
        <f t="shared" si="263"/>
        <v>18.504615458721105</v>
      </c>
      <c r="Y546" s="307">
        <f t="shared" si="264"/>
        <v>83660.5</v>
      </c>
      <c r="Z546" s="307">
        <f t="shared" si="265"/>
        <v>6999079260.25</v>
      </c>
      <c r="AB546" s="333">
        <f t="shared" si="266"/>
        <v>32.739365985410934</v>
      </c>
      <c r="AC546" s="334">
        <f t="shared" si="267"/>
        <v>-40.090523974701256</v>
      </c>
      <c r="AE546" s="333">
        <f t="shared" si="268"/>
        <v>-15.816813599226595</v>
      </c>
      <c r="AF546" s="334">
        <f t="shared" si="269"/>
        <v>-108.06082571810914</v>
      </c>
      <c r="AH546">
        <f t="shared" si="270"/>
        <v>0</v>
      </c>
      <c r="AI546">
        <f t="shared" si="275"/>
        <v>0</v>
      </c>
    </row>
    <row r="547" spans="1:35" x14ac:dyDescent="0.25">
      <c r="A547" s="335">
        <v>84145</v>
      </c>
      <c r="B547" s="352">
        <f t="shared" si="271"/>
        <v>84.144999999999996</v>
      </c>
      <c r="C547" s="325">
        <f t="shared" si="246"/>
        <v>179.22883750689718</v>
      </c>
      <c r="D547" s="326">
        <f t="shared" si="247"/>
        <v>1.5652168385698029</v>
      </c>
      <c r="E547" s="326">
        <f t="shared" si="248"/>
        <v>1.0221171939275158</v>
      </c>
      <c r="F547" s="327">
        <f t="shared" si="249"/>
        <v>0.20840873453251743</v>
      </c>
      <c r="G547" s="326">
        <f t="shared" si="250"/>
        <v>1</v>
      </c>
      <c r="H547" s="327">
        <f t="shared" si="251"/>
        <v>0</v>
      </c>
      <c r="I547" s="325">
        <f t="shared" si="252"/>
        <v>27765.743005763768</v>
      </c>
      <c r="J547" s="328">
        <f t="shared" si="253"/>
        <v>1.570760311191064</v>
      </c>
      <c r="K547" s="336">
        <f t="shared" si="273"/>
        <v>19.664482213926007</v>
      </c>
      <c r="L547" s="337">
        <f t="shared" si="274"/>
        <v>1.5199212771567132</v>
      </c>
      <c r="M547" s="325">
        <f t="shared" si="254"/>
        <v>1.2574510582538352</v>
      </c>
      <c r="N547" s="337">
        <f t="shared" si="255"/>
        <v>0.6513607083271018</v>
      </c>
      <c r="O547" s="343">
        <f t="shared" si="256"/>
        <v>1.1131412685225439</v>
      </c>
      <c r="P547" s="691">
        <f t="shared" si="257"/>
        <v>0.454777988748294</v>
      </c>
      <c r="Q547" s="336">
        <f t="shared" si="272"/>
        <v>5.3670293380366267</v>
      </c>
      <c r="R547" s="692">
        <f t="shared" si="258"/>
        <v>0.68824731691482077</v>
      </c>
      <c r="S547" s="329">
        <f t="shared" si="259"/>
        <v>0.96047743919351447</v>
      </c>
      <c r="T547" s="330">
        <f t="shared" si="260"/>
        <v>0.53163351779950485</v>
      </c>
      <c r="U547" s="331">
        <f t="shared" si="261"/>
        <v>-8.846235221900498</v>
      </c>
      <c r="V547" s="332">
        <f t="shared" si="262"/>
        <v>-161.80962373516456</v>
      </c>
      <c r="W547" s="334">
        <f t="shared" si="263"/>
        <v>18.190376264835436</v>
      </c>
      <c r="Y547" s="307">
        <f t="shared" si="264"/>
        <v>84145</v>
      </c>
      <c r="Z547" s="307">
        <f t="shared" si="265"/>
        <v>7080381025</v>
      </c>
      <c r="AB547" s="333">
        <f t="shared" si="266"/>
        <v>32.720866903954274</v>
      </c>
      <c r="AC547" s="334">
        <f t="shared" si="267"/>
        <v>-40.233081658457991</v>
      </c>
      <c r="AE547" s="333">
        <f t="shared" si="268"/>
        <v>-15.862228594413006</v>
      </c>
      <c r="AF547" s="334">
        <f t="shared" si="269"/>
        <v>-108.19973491172453</v>
      </c>
      <c r="AH547">
        <f t="shared" si="270"/>
        <v>0</v>
      </c>
      <c r="AI547">
        <f t="shared" si="275"/>
        <v>0</v>
      </c>
    </row>
    <row r="548" spans="1:35" x14ac:dyDescent="0.25">
      <c r="A548" s="335">
        <v>84629.5</v>
      </c>
      <c r="B548" s="352">
        <f t="shared" si="271"/>
        <v>84.629499999999993</v>
      </c>
      <c r="C548" s="325">
        <f t="shared" si="246"/>
        <v>180.2607904008519</v>
      </c>
      <c r="D548" s="326">
        <f t="shared" si="247"/>
        <v>1.5652487802263566</v>
      </c>
      <c r="E548" s="326">
        <f t="shared" si="248"/>
        <v>1.0223698303549258</v>
      </c>
      <c r="F548" s="327">
        <f t="shared" si="249"/>
        <v>0.2095740003845164</v>
      </c>
      <c r="G548" s="326">
        <f t="shared" si="250"/>
        <v>1</v>
      </c>
      <c r="H548" s="327">
        <f t="shared" si="251"/>
        <v>0</v>
      </c>
      <c r="I548" s="325">
        <f t="shared" si="252"/>
        <v>27925.6158736572</v>
      </c>
      <c r="J548" s="328">
        <f t="shared" si="253"/>
        <v>1.5707605173787413</v>
      </c>
      <c r="K548" s="336">
        <f t="shared" si="273"/>
        <v>19.777416715655892</v>
      </c>
      <c r="L548" s="337">
        <f t="shared" si="274"/>
        <v>1.5202120364669722</v>
      </c>
      <c r="M548" s="325">
        <f t="shared" si="254"/>
        <v>1.2601171541131773</v>
      </c>
      <c r="N548" s="337">
        <f t="shared" si="255"/>
        <v>0.65413096825617656</v>
      </c>
      <c r="O548" s="343">
        <f t="shared" si="256"/>
        <v>1.1143808398844395</v>
      </c>
      <c r="P548" s="691">
        <f t="shared" si="257"/>
        <v>0.45704762733632304</v>
      </c>
      <c r="Q548" s="336">
        <f t="shared" si="272"/>
        <v>5.3794183475700041</v>
      </c>
      <c r="R548" s="692">
        <f t="shared" si="258"/>
        <v>0.69108098798737827</v>
      </c>
      <c r="S548" s="329">
        <f t="shared" si="259"/>
        <v>0.96019165946675489</v>
      </c>
      <c r="T548" s="330">
        <f t="shared" si="260"/>
        <v>0.53519962043052938</v>
      </c>
      <c r="U548" s="331">
        <f t="shared" si="261"/>
        <v>-8.920256334257866</v>
      </c>
      <c r="V548" s="332">
        <f t="shared" si="262"/>
        <v>-162.12340508768594</v>
      </c>
      <c r="W548" s="334">
        <f t="shared" si="263"/>
        <v>17.876594912314062</v>
      </c>
      <c r="Y548" s="307">
        <f t="shared" si="264"/>
        <v>84629.5</v>
      </c>
      <c r="Z548" s="307">
        <f t="shared" si="265"/>
        <v>7162152270.25</v>
      </c>
      <c r="AB548" s="333">
        <f t="shared" si="266"/>
        <v>32.702342016179216</v>
      </c>
      <c r="AC548" s="334">
        <f t="shared" si="267"/>
        <v>-40.375158393062264</v>
      </c>
      <c r="AE548" s="333">
        <f t="shared" si="268"/>
        <v>-15.907364854843628</v>
      </c>
      <c r="AF548" s="334">
        <f t="shared" si="269"/>
        <v>-108.33912284873294</v>
      </c>
      <c r="AH548">
        <f t="shared" si="270"/>
        <v>0</v>
      </c>
      <c r="AI548">
        <f t="shared" si="275"/>
        <v>0</v>
      </c>
    </row>
    <row r="549" spans="1:35" x14ac:dyDescent="0.25">
      <c r="A549" s="335">
        <v>85114</v>
      </c>
      <c r="B549" s="352">
        <f t="shared" si="271"/>
        <v>85.114000000000004</v>
      </c>
      <c r="C549" s="325">
        <f t="shared" si="246"/>
        <v>181.29274347662738</v>
      </c>
      <c r="D549" s="326">
        <f t="shared" si="247"/>
        <v>1.5652803582468684</v>
      </c>
      <c r="E549" s="326">
        <f t="shared" si="248"/>
        <v>1.022623854314582</v>
      </c>
      <c r="F549" s="327">
        <f t="shared" si="249"/>
        <v>0.21073868890369438</v>
      </c>
      <c r="G549" s="326">
        <f t="shared" si="250"/>
        <v>1</v>
      </c>
      <c r="H549" s="327">
        <f t="shared" si="251"/>
        <v>0</v>
      </c>
      <c r="I549" s="325">
        <f t="shared" si="252"/>
        <v>28085.488741551806</v>
      </c>
      <c r="J549" s="328">
        <f t="shared" si="253"/>
        <v>1.5707607212190273</v>
      </c>
      <c r="K549" s="336">
        <f t="shared" si="273"/>
        <v>19.890352870401045</v>
      </c>
      <c r="L549" s="337">
        <f t="shared" si="274"/>
        <v>1.5204994939756729</v>
      </c>
      <c r="M549" s="325">
        <f t="shared" si="254"/>
        <v>1.262792879662562</v>
      </c>
      <c r="N549" s="337">
        <f t="shared" si="255"/>
        <v>0.65688950950069824</v>
      </c>
      <c r="O549" s="343">
        <f t="shared" si="256"/>
        <v>1.1156261389373434</v>
      </c>
      <c r="P549" s="691">
        <f t="shared" si="257"/>
        <v>0.45931221067579303</v>
      </c>
      <c r="Q549" s="336">
        <f t="shared" si="272"/>
        <v>5.391849778263615</v>
      </c>
      <c r="R549" s="692">
        <f t="shared" si="258"/>
        <v>0.69390170316341637</v>
      </c>
      <c r="S549" s="329">
        <f t="shared" si="259"/>
        <v>0.95990830354537193</v>
      </c>
      <c r="T549" s="330">
        <f t="shared" si="260"/>
        <v>0.53877390011188964</v>
      </c>
      <c r="U549" s="331">
        <f t="shared" si="261"/>
        <v>-8.9940162908947769</v>
      </c>
      <c r="V549" s="332">
        <f t="shared" si="262"/>
        <v>-162.43673213445197</v>
      </c>
      <c r="W549" s="334">
        <f t="shared" si="263"/>
        <v>17.563267865548028</v>
      </c>
      <c r="Y549" s="307">
        <f t="shared" si="264"/>
        <v>85114</v>
      </c>
      <c r="Z549" s="307">
        <f t="shared" si="265"/>
        <v>7244392996</v>
      </c>
      <c r="AB549" s="333">
        <f t="shared" si="266"/>
        <v>32.683791953597279</v>
      </c>
      <c r="AC549" s="334">
        <f t="shared" si="267"/>
        <v>-40.516752741298113</v>
      </c>
      <c r="AE549" s="333">
        <f t="shared" si="268"/>
        <v>-15.95222636386988</v>
      </c>
      <c r="AF549" s="334">
        <f t="shared" si="269"/>
        <v>-108.47899154013854</v>
      </c>
      <c r="AH549">
        <f t="shared" si="270"/>
        <v>0</v>
      </c>
      <c r="AI549">
        <f t="shared" si="275"/>
        <v>0</v>
      </c>
    </row>
    <row r="550" spans="1:35" x14ac:dyDescent="0.25">
      <c r="A550" s="335">
        <v>85609.5</v>
      </c>
      <c r="B550" s="352">
        <f t="shared" si="271"/>
        <v>85.609499999999997</v>
      </c>
      <c r="C550" s="325">
        <f t="shared" si="246"/>
        <v>182.34812601244383</v>
      </c>
      <c r="D550" s="326">
        <f t="shared" si="247"/>
        <v>1.5653122835291904</v>
      </c>
      <c r="E550" s="326">
        <f t="shared" si="248"/>
        <v>1.0228850796540188</v>
      </c>
      <c r="F550" s="327">
        <f t="shared" si="249"/>
        <v>0.21192922031294481</v>
      </c>
      <c r="G550" s="326">
        <f t="shared" si="250"/>
        <v>1</v>
      </c>
      <c r="H550" s="327">
        <f t="shared" si="251"/>
        <v>0</v>
      </c>
      <c r="I550" s="325">
        <f t="shared" si="252"/>
        <v>28248.991334002487</v>
      </c>
      <c r="J550" s="328">
        <f t="shared" si="253"/>
        <v>1.570760927300862</v>
      </c>
      <c r="K550" s="336">
        <f t="shared" si="273"/>
        <v>20.005854787652524</v>
      </c>
      <c r="L550" s="337">
        <f t="shared" si="274"/>
        <v>1.520790120994546</v>
      </c>
      <c r="M550" s="325">
        <f t="shared" si="254"/>
        <v>1.2655392508614993</v>
      </c>
      <c r="N550" s="337">
        <f t="shared" si="255"/>
        <v>0.65969859322731861</v>
      </c>
      <c r="O550" s="343">
        <f t="shared" si="256"/>
        <v>1.1169056152954395</v>
      </c>
      <c r="P550" s="691">
        <f t="shared" si="257"/>
        <v>0.46162297345062342</v>
      </c>
      <c r="Q550" s="336">
        <f t="shared" si="272"/>
        <v>5.4046070216681494</v>
      </c>
      <c r="R550" s="692">
        <f t="shared" si="258"/>
        <v>0.69677310638633372</v>
      </c>
      <c r="S550" s="329">
        <f t="shared" si="259"/>
        <v>0.95962109788544614</v>
      </c>
      <c r="T550" s="330">
        <f t="shared" si="260"/>
        <v>0.54243781372416089</v>
      </c>
      <c r="U550" s="331">
        <f t="shared" si="261"/>
        <v>-9.0691837330518403</v>
      </c>
      <c r="V550" s="332">
        <f t="shared" si="262"/>
        <v>-162.75670675946969</v>
      </c>
      <c r="W550" s="334">
        <f t="shared" si="263"/>
        <v>17.243293240530306</v>
      </c>
      <c r="Y550" s="307">
        <f t="shared" si="264"/>
        <v>85609.5</v>
      </c>
      <c r="Z550" s="307">
        <f t="shared" si="265"/>
        <v>7328986490.25</v>
      </c>
      <c r="AB550" s="333">
        <f t="shared" si="266"/>
        <v>32.664795347777982</v>
      </c>
      <c r="AC550" s="334">
        <f t="shared" si="267"/>
        <v>-40.661061489322698</v>
      </c>
      <c r="AE550" s="333">
        <f t="shared" si="268"/>
        <v>-15.997826319183698</v>
      </c>
      <c r="AF550" s="334">
        <f t="shared" si="269"/>
        <v>-108.62253508559525</v>
      </c>
      <c r="AH550">
        <f t="shared" si="270"/>
        <v>0</v>
      </c>
      <c r="AI550">
        <f t="shared" si="275"/>
        <v>0</v>
      </c>
    </row>
    <row r="551" spans="1:35" x14ac:dyDescent="0.25">
      <c r="A551" s="335">
        <v>86105</v>
      </c>
      <c r="B551" s="352">
        <f t="shared" si="271"/>
        <v>86.105000000000004</v>
      </c>
      <c r="C551" s="325">
        <f t="shared" si="246"/>
        <v>183.40350873197485</v>
      </c>
      <c r="D551" s="326">
        <f t="shared" si="247"/>
        <v>1.5653438413879166</v>
      </c>
      <c r="E551" s="326">
        <f t="shared" si="248"/>
        <v>1.0231477540534921</v>
      </c>
      <c r="F551" s="327">
        <f t="shared" si="249"/>
        <v>0.2131191421138699</v>
      </c>
      <c r="G551" s="326">
        <f t="shared" si="250"/>
        <v>1</v>
      </c>
      <c r="H551" s="327">
        <f t="shared" si="251"/>
        <v>0</v>
      </c>
      <c r="I551" s="325">
        <f t="shared" si="252"/>
        <v>28412.493926454361</v>
      </c>
      <c r="J551" s="328">
        <f t="shared" si="253"/>
        <v>1.5707611310108589</v>
      </c>
      <c r="K551" s="336">
        <f t="shared" si="273"/>
        <v>20.121358375280199</v>
      </c>
      <c r="L551" s="337">
        <f t="shared" si="274"/>
        <v>1.5210774114373375</v>
      </c>
      <c r="M551" s="325">
        <f t="shared" si="254"/>
        <v>1.2682955650745176</v>
      </c>
      <c r="N551" s="337">
        <f t="shared" si="255"/>
        <v>0.66249548930236701</v>
      </c>
      <c r="O551" s="343">
        <f t="shared" si="256"/>
        <v>1.1181910418435457</v>
      </c>
      <c r="P551" s="691">
        <f t="shared" si="257"/>
        <v>0.46392843579605691</v>
      </c>
      <c r="Q551" s="336">
        <f t="shared" si="272"/>
        <v>5.4174080169939343</v>
      </c>
      <c r="R551" s="692">
        <f t="shared" si="258"/>
        <v>0.69963105557715743</v>
      </c>
      <c r="S551" s="329">
        <f t="shared" si="259"/>
        <v>0.9593365832450319</v>
      </c>
      <c r="T551" s="330">
        <f t="shared" si="260"/>
        <v>0.54611033303353962</v>
      </c>
      <c r="U551" s="331">
        <f t="shared" si="261"/>
        <v>-9.1440840157622283</v>
      </c>
      <c r="V551" s="332">
        <f t="shared" si="262"/>
        <v>-163.07621389858528</v>
      </c>
      <c r="W551" s="334">
        <f t="shared" si="263"/>
        <v>16.92378610141472</v>
      </c>
      <c r="Y551" s="307">
        <f t="shared" si="264"/>
        <v>86105</v>
      </c>
      <c r="Z551" s="307">
        <f t="shared" si="265"/>
        <v>7414071025</v>
      </c>
      <c r="AB551" s="333">
        <f t="shared" si="266"/>
        <v>32.645773730328195</v>
      </c>
      <c r="AC551" s="334">
        <f t="shared" si="267"/>
        <v>-40.804862972180658</v>
      </c>
      <c r="AE551" s="333">
        <f t="shared" si="268"/>
        <v>-16.043147171023481</v>
      </c>
      <c r="AF551" s="334">
        <f t="shared" si="269"/>
        <v>-108.76658557733941</v>
      </c>
      <c r="AH551">
        <f t="shared" si="270"/>
        <v>0</v>
      </c>
      <c r="AI551">
        <f t="shared" si="275"/>
        <v>0</v>
      </c>
    </row>
    <row r="552" spans="1:35" x14ac:dyDescent="0.25">
      <c r="A552" s="335">
        <v>86600.5</v>
      </c>
      <c r="B552" s="352">
        <f t="shared" si="271"/>
        <v>86.600499999999997</v>
      </c>
      <c r="C552" s="325">
        <f t="shared" si="246"/>
        <v>184.45889163206706</v>
      </c>
      <c r="D552" s="326">
        <f t="shared" si="247"/>
        <v>1.5653750381296334</v>
      </c>
      <c r="E552" s="326">
        <f t="shared" si="248"/>
        <v>1.0234118763972317</v>
      </c>
      <c r="F552" s="327">
        <f t="shared" si="249"/>
        <v>0.2143084514075147</v>
      </c>
      <c r="G552" s="326">
        <f t="shared" si="250"/>
        <v>1</v>
      </c>
      <c r="H552" s="327">
        <f t="shared" si="251"/>
        <v>0</v>
      </c>
      <c r="I552" s="325">
        <f t="shared" si="252"/>
        <v>28575.996518907392</v>
      </c>
      <c r="J552" s="328">
        <f t="shared" si="253"/>
        <v>1.5707613323897307</v>
      </c>
      <c r="K552" s="336">
        <f t="shared" si="273"/>
        <v>20.23686360468264</v>
      </c>
      <c r="L552" s="337">
        <f t="shared" si="274"/>
        <v>1.5213614223883845</v>
      </c>
      <c r="M552" s="325">
        <f t="shared" si="254"/>
        <v>1.2710617576169463</v>
      </c>
      <c r="N552" s="337">
        <f t="shared" si="255"/>
        <v>0.66528023339708098</v>
      </c>
      <c r="O552" s="343">
        <f t="shared" si="256"/>
        <v>1.1194823980850497</v>
      </c>
      <c r="P552" s="691">
        <f t="shared" si="257"/>
        <v>0.46622859150496537</v>
      </c>
      <c r="Q552" s="336">
        <f t="shared" si="272"/>
        <v>5.4302524548840809</v>
      </c>
      <c r="R552" s="692">
        <f t="shared" si="258"/>
        <v>0.70247560030794598</v>
      </c>
      <c r="S552" s="329">
        <f t="shared" si="259"/>
        <v>0.95905483922159496</v>
      </c>
      <c r="T552" s="330">
        <f t="shared" si="260"/>
        <v>0.54979148388217958</v>
      </c>
      <c r="U552" s="331">
        <f t="shared" si="261"/>
        <v>-9.2187201090078137</v>
      </c>
      <c r="V552" s="332">
        <f t="shared" si="262"/>
        <v>-163.3952575312484</v>
      </c>
      <c r="W552" s="334">
        <f t="shared" si="263"/>
        <v>16.604742468751596</v>
      </c>
      <c r="Y552" s="307">
        <f t="shared" si="264"/>
        <v>86600.5</v>
      </c>
      <c r="Z552" s="307">
        <f t="shared" si="265"/>
        <v>7499646600.25</v>
      </c>
      <c r="AB552" s="333">
        <f t="shared" si="266"/>
        <v>32.626727759717191</v>
      </c>
      <c r="AC552" s="334">
        <f t="shared" si="267"/>
        <v>-40.948155965324439</v>
      </c>
      <c r="AE552" s="333">
        <f t="shared" si="268"/>
        <v>-16.08819301893471</v>
      </c>
      <c r="AF552" s="334">
        <f t="shared" si="269"/>
        <v>-108.91114502345606</v>
      </c>
      <c r="AH552">
        <f t="shared" si="270"/>
        <v>0</v>
      </c>
      <c r="AI552">
        <f t="shared" si="275"/>
        <v>0</v>
      </c>
    </row>
    <row r="553" spans="1:35" x14ac:dyDescent="0.25">
      <c r="A553" s="335">
        <v>87096</v>
      </c>
      <c r="B553" s="352">
        <f t="shared" si="271"/>
        <v>87.096000000000004</v>
      </c>
      <c r="C553" s="325">
        <f t="shared" si="246"/>
        <v>185.51427470963884</v>
      </c>
      <c r="D553" s="326">
        <f t="shared" si="247"/>
        <v>1.5654058799174195</v>
      </c>
      <c r="E553" s="326">
        <f t="shared" si="248"/>
        <v>1.0236774455644706</v>
      </c>
      <c r="F553" s="327">
        <f t="shared" si="249"/>
        <v>0.21549714530483882</v>
      </c>
      <c r="G553" s="326">
        <f t="shared" si="250"/>
        <v>1</v>
      </c>
      <c r="H553" s="327">
        <f t="shared" si="251"/>
        <v>0</v>
      </c>
      <c r="I553" s="325">
        <f t="shared" si="252"/>
        <v>28739.499111361572</v>
      </c>
      <c r="J553" s="328">
        <f t="shared" si="253"/>
        <v>1.5707615314772634</v>
      </c>
      <c r="K553" s="336">
        <f t="shared" si="273"/>
        <v>20.352370447907287</v>
      </c>
      <c r="L553" s="337">
        <f t="shared" si="274"/>
        <v>1.5216422096382733</v>
      </c>
      <c r="M553" s="325">
        <f t="shared" si="254"/>
        <v>1.2738377641351577</v>
      </c>
      <c r="N553" s="337">
        <f t="shared" si="255"/>
        <v>0.66805286162729827</v>
      </c>
      <c r="O553" s="343">
        <f t="shared" si="256"/>
        <v>1.1207796635234699</v>
      </c>
      <c r="P553" s="691">
        <f t="shared" si="257"/>
        <v>0.46852343462336793</v>
      </c>
      <c r="Q553" s="336">
        <f t="shared" si="272"/>
        <v>5.4431400278569306</v>
      </c>
      <c r="R553" s="692">
        <f t="shared" si="258"/>
        <v>0.70530679053945255</v>
      </c>
      <c r="S553" s="329">
        <f t="shared" si="259"/>
        <v>0.95877594592827842</v>
      </c>
      <c r="T553" s="330">
        <f t="shared" si="260"/>
        <v>0.55348129140997027</v>
      </c>
      <c r="U553" s="331">
        <f t="shared" si="261"/>
        <v>-9.2930949452597371</v>
      </c>
      <c r="V553" s="332">
        <f t="shared" si="262"/>
        <v>-163.71384169519447</v>
      </c>
      <c r="W553" s="334">
        <f t="shared" si="263"/>
        <v>16.286158304805525</v>
      </c>
      <c r="Y553" s="307">
        <f t="shared" si="264"/>
        <v>87096</v>
      </c>
      <c r="Z553" s="307">
        <f t="shared" si="265"/>
        <v>7585713216</v>
      </c>
      <c r="AB553" s="333">
        <f t="shared" si="266"/>
        <v>32.607658088606144</v>
      </c>
      <c r="AC553" s="334">
        <f t="shared" si="267"/>
        <v>-41.090939343753533</v>
      </c>
      <c r="AE553" s="333">
        <f t="shared" si="268"/>
        <v>-16.132967910728354</v>
      </c>
      <c r="AF553" s="334">
        <f t="shared" si="269"/>
        <v>-109.05621538300298</v>
      </c>
      <c r="AH553">
        <f t="shared" si="270"/>
        <v>0</v>
      </c>
      <c r="AI553">
        <f t="shared" si="275"/>
        <v>0</v>
      </c>
    </row>
    <row r="554" spans="1:35" x14ac:dyDescent="0.25">
      <c r="A554" s="335">
        <v>87603.25</v>
      </c>
      <c r="B554" s="352">
        <f t="shared" si="271"/>
        <v>87.603250000000003</v>
      </c>
      <c r="C554" s="325">
        <f t="shared" si="246"/>
        <v>186.59468471091898</v>
      </c>
      <c r="D554" s="326">
        <f t="shared" si="247"/>
        <v>1.5654370916780687</v>
      </c>
      <c r="E554" s="326">
        <f t="shared" si="248"/>
        <v>1.023950809803768</v>
      </c>
      <c r="F554" s="327">
        <f t="shared" si="249"/>
        <v>0.21671338673583576</v>
      </c>
      <c r="G554" s="326">
        <f t="shared" si="250"/>
        <v>1</v>
      </c>
      <c r="H554" s="327">
        <f t="shared" si="251"/>
        <v>0</v>
      </c>
      <c r="I554" s="325">
        <f t="shared" si="252"/>
        <v>28906.878909591564</v>
      </c>
      <c r="J554" s="328">
        <f t="shared" si="253"/>
        <v>1.5707617329529489</v>
      </c>
      <c r="K554" s="336">
        <f t="shared" si="273"/>
        <v>20.47061799666756</v>
      </c>
      <c r="L554" s="337">
        <f t="shared" si="274"/>
        <v>1.5219263729665973</v>
      </c>
      <c r="M554" s="325">
        <f t="shared" si="254"/>
        <v>1.276689698244976</v>
      </c>
      <c r="N554" s="337">
        <f t="shared" si="255"/>
        <v>0.67087872628301271</v>
      </c>
      <c r="O554" s="343">
        <f t="shared" si="256"/>
        <v>1.1221137912145269</v>
      </c>
      <c r="P554" s="691">
        <f t="shared" si="257"/>
        <v>0.47086718731624061</v>
      </c>
      <c r="Q554" s="336">
        <f t="shared" si="272"/>
        <v>5.4563775717508483</v>
      </c>
      <c r="R554" s="692">
        <f t="shared" si="258"/>
        <v>0.70819133725386962</v>
      </c>
      <c r="S554" s="329">
        <f t="shared" si="259"/>
        <v>0.95849347623458447</v>
      </c>
      <c r="T554" s="330">
        <f t="shared" si="260"/>
        <v>0.55726758942585386</v>
      </c>
      <c r="U554" s="331">
        <f t="shared" si="261"/>
        <v>-9.3689658634215878</v>
      </c>
      <c r="V554" s="332">
        <f t="shared" si="262"/>
        <v>-164.03950891071582</v>
      </c>
      <c r="W554" s="334">
        <f t="shared" si="263"/>
        <v>15.960491089284176</v>
      </c>
      <c r="Y554" s="307">
        <f t="shared" si="264"/>
        <v>87603.25</v>
      </c>
      <c r="Z554" s="307">
        <f t="shared" si="265"/>
        <v>7674329410.5625</v>
      </c>
      <c r="AB554" s="333">
        <f t="shared" si="266"/>
        <v>32.588112335441629</v>
      </c>
      <c r="AC554" s="334">
        <f t="shared" si="267"/>
        <v>-41.236579646468662</v>
      </c>
      <c r="AE554" s="333">
        <f t="shared" si="268"/>
        <v>-16.178528071204351</v>
      </c>
      <c r="AF554" s="334">
        <f t="shared" si="269"/>
        <v>-109.20525708075347</v>
      </c>
      <c r="AH554">
        <f t="shared" si="270"/>
        <v>0</v>
      </c>
      <c r="AI554">
        <f t="shared" si="275"/>
        <v>0</v>
      </c>
    </row>
    <row r="555" spans="1:35" x14ac:dyDescent="0.25">
      <c r="A555" s="335">
        <v>88110.5</v>
      </c>
      <c r="B555" s="352">
        <f t="shared" si="271"/>
        <v>88.110500000000002</v>
      </c>
      <c r="C555" s="325">
        <f t="shared" si="246"/>
        <v>187.67509489188191</v>
      </c>
      <c r="D555" s="326">
        <f t="shared" si="247"/>
        <v>1.5654679440782902</v>
      </c>
      <c r="E555" s="326">
        <f t="shared" si="248"/>
        <v>1.0242256879055227</v>
      </c>
      <c r="F555" s="327">
        <f t="shared" si="249"/>
        <v>0.217928977142956</v>
      </c>
      <c r="G555" s="326">
        <f t="shared" si="250"/>
        <v>1</v>
      </c>
      <c r="H555" s="327">
        <f t="shared" si="251"/>
        <v>0</v>
      </c>
      <c r="I555" s="325">
        <f t="shared" si="252"/>
        <v>29074.258707822712</v>
      </c>
      <c r="J555" s="328">
        <f t="shared" si="253"/>
        <v>1.5707619321088533</v>
      </c>
      <c r="K555" s="336">
        <f t="shared" si="273"/>
        <v>20.588867179418518</v>
      </c>
      <c r="L555" s="337">
        <f t="shared" si="274"/>
        <v>1.5222072722153799</v>
      </c>
      <c r="M555" s="325">
        <f t="shared" si="254"/>
        <v>1.279551781880701</v>
      </c>
      <c r="N555" s="337">
        <f t="shared" si="255"/>
        <v>0.67369197161084116</v>
      </c>
      <c r="O555" s="343">
        <f t="shared" si="256"/>
        <v>1.1234540682154635</v>
      </c>
      <c r="P555" s="691">
        <f t="shared" si="257"/>
        <v>0.47320536064916202</v>
      </c>
      <c r="Q555" s="336">
        <f t="shared" si="272"/>
        <v>5.4696596746580894</v>
      </c>
      <c r="R555" s="692">
        <f t="shared" si="258"/>
        <v>0.71106199573790452</v>
      </c>
      <c r="S555" s="329">
        <f t="shared" si="259"/>
        <v>0.95821416563016881</v>
      </c>
      <c r="T555" s="330">
        <f t="shared" si="260"/>
        <v>0.56106301056039587</v>
      </c>
      <c r="U555" s="331">
        <f t="shared" si="261"/>
        <v>-9.4445690911802664</v>
      </c>
      <c r="V555" s="332">
        <f t="shared" si="262"/>
        <v>-164.36470334114821</v>
      </c>
      <c r="W555" s="334">
        <f t="shared" si="263"/>
        <v>15.635296658851786</v>
      </c>
      <c r="Y555" s="307">
        <f t="shared" si="264"/>
        <v>88110.5</v>
      </c>
      <c r="Z555" s="307">
        <f t="shared" si="265"/>
        <v>7763460210.25</v>
      </c>
      <c r="AB555" s="333">
        <f t="shared" si="266"/>
        <v>32.568543109832731</v>
      </c>
      <c r="AC555" s="334">
        <f t="shared" si="267"/>
        <v>-41.381683800023104</v>
      </c>
      <c r="AE555" s="333">
        <f t="shared" si="268"/>
        <v>-16.223812696649681</v>
      </c>
      <c r="AF555" s="334">
        <f t="shared" si="269"/>
        <v>-109.35483820578438</v>
      </c>
      <c r="AH555">
        <f t="shared" si="270"/>
        <v>0</v>
      </c>
      <c r="AI555">
        <f t="shared" si="275"/>
        <v>0</v>
      </c>
    </row>
    <row r="556" spans="1:35" x14ac:dyDescent="0.25">
      <c r="A556" s="335">
        <v>88617.75</v>
      </c>
      <c r="B556" s="352">
        <f t="shared" si="271"/>
        <v>88.617750000000001</v>
      </c>
      <c r="C556" s="325">
        <f t="shared" si="246"/>
        <v>188.75550524944222</v>
      </c>
      <c r="D556" s="326">
        <f t="shared" si="247"/>
        <v>1.5654984432888126</v>
      </c>
      <c r="E556" s="326">
        <f t="shared" si="248"/>
        <v>1.0245020786512085</v>
      </c>
      <c r="F556" s="327">
        <f t="shared" si="249"/>
        <v>0.21914391345920964</v>
      </c>
      <c r="G556" s="326">
        <f t="shared" si="250"/>
        <v>1</v>
      </c>
      <c r="H556" s="327">
        <f t="shared" si="251"/>
        <v>0</v>
      </c>
      <c r="I556" s="325">
        <f t="shared" si="252"/>
        <v>29241.638506055006</v>
      </c>
      <c r="J556" s="328">
        <f t="shared" si="253"/>
        <v>1.5707621289848119</v>
      </c>
      <c r="K556" s="336">
        <f t="shared" si="273"/>
        <v>20.707117968167168</v>
      </c>
      <c r="L556" s="337">
        <f t="shared" si="274"/>
        <v>1.5224849632598072</v>
      </c>
      <c r="M556" s="325">
        <f t="shared" si="254"/>
        <v>1.2824239470879137</v>
      </c>
      <c r="N556" s="337">
        <f t="shared" si="255"/>
        <v>0.67649263772017054</v>
      </c>
      <c r="O556" s="343">
        <f t="shared" si="256"/>
        <v>1.1248004725443044</v>
      </c>
      <c r="P556" s="691">
        <f t="shared" si="257"/>
        <v>0.47553794904662205</v>
      </c>
      <c r="Q556" s="336">
        <f t="shared" si="272"/>
        <v>5.4829860128202812</v>
      </c>
      <c r="R556" s="692">
        <f t="shared" si="258"/>
        <v>0.71391882075743662</v>
      </c>
      <c r="S556" s="329">
        <f t="shared" si="259"/>
        <v>0.95793810173217009</v>
      </c>
      <c r="T556" s="330">
        <f t="shared" si="260"/>
        <v>0.56486757942108812</v>
      </c>
      <c r="U556" s="331">
        <f t="shared" si="261"/>
        <v>-9.5199076603474158</v>
      </c>
      <c r="V556" s="332">
        <f t="shared" si="262"/>
        <v>-164.68942948195482</v>
      </c>
      <c r="W556" s="334">
        <f t="shared" si="263"/>
        <v>15.310570518045182</v>
      </c>
      <c r="Y556" s="307">
        <f t="shared" si="264"/>
        <v>88617.75</v>
      </c>
      <c r="Z556" s="307">
        <f t="shared" si="265"/>
        <v>7853105615.0625</v>
      </c>
      <c r="AB556" s="333">
        <f t="shared" si="266"/>
        <v>32.548951092902286</v>
      </c>
      <c r="AC556" s="334">
        <f t="shared" si="267"/>
        <v>-41.526250903385431</v>
      </c>
      <c r="AE556" s="333">
        <f t="shared" si="268"/>
        <v>-16.268825969406215</v>
      </c>
      <c r="AF556" s="334">
        <f t="shared" si="269"/>
        <v>-109.50496069728338</v>
      </c>
      <c r="AH556">
        <f t="shared" si="270"/>
        <v>0</v>
      </c>
      <c r="AI556">
        <f t="shared" si="275"/>
        <v>0</v>
      </c>
    </row>
    <row r="557" spans="1:35" x14ac:dyDescent="0.25">
      <c r="A557" s="335">
        <v>89125</v>
      </c>
      <c r="B557" s="352">
        <f t="shared" si="271"/>
        <v>89.125</v>
      </c>
      <c r="C557" s="325">
        <f t="shared" si="246"/>
        <v>189.83591578058466</v>
      </c>
      <c r="D557" s="326">
        <f t="shared" si="247"/>
        <v>1.5655285953398899</v>
      </c>
      <c r="E557" s="326">
        <f t="shared" si="248"/>
        <v>1.0247799808169116</v>
      </c>
      <c r="F557" s="327">
        <f t="shared" si="249"/>
        <v>0.22035819262863018</v>
      </c>
      <c r="G557" s="326">
        <f t="shared" si="250"/>
        <v>1</v>
      </c>
      <c r="H557" s="327">
        <f t="shared" si="251"/>
        <v>0</v>
      </c>
      <c r="I557" s="325">
        <f t="shared" si="252"/>
        <v>29409.01830428842</v>
      </c>
      <c r="J557" s="328">
        <f t="shared" si="253"/>
        <v>1.5707623236197534</v>
      </c>
      <c r="K557" s="336">
        <f t="shared" si="273"/>
        <v>20.825370335555952</v>
      </c>
      <c r="L557" s="337">
        <f t="shared" si="274"/>
        <v>1.5227595007079699</v>
      </c>
      <c r="M557" s="325">
        <f t="shared" si="254"/>
        <v>1.2853061262813035</v>
      </c>
      <c r="N557" s="337">
        <f t="shared" si="255"/>
        <v>0.67928076515185043</v>
      </c>
      <c r="O557" s="343">
        <f t="shared" si="256"/>
        <v>1.1261529822239453</v>
      </c>
      <c r="P557" s="691">
        <f t="shared" si="257"/>
        <v>0.47786494720281097</v>
      </c>
      <c r="Q557" s="336">
        <f t="shared" si="272"/>
        <v>5.4963562645460637</v>
      </c>
      <c r="R557" s="692">
        <f t="shared" si="258"/>
        <v>0.71676186743870196</v>
      </c>
      <c r="S557" s="329">
        <f t="shared" si="259"/>
        <v>0.95766537271637231</v>
      </c>
      <c r="T557" s="330">
        <f t="shared" si="260"/>
        <v>0.56868131979215164</v>
      </c>
      <c r="U557" s="331">
        <f t="shared" si="261"/>
        <v>-9.594984566720548</v>
      </c>
      <c r="V557" s="332">
        <f t="shared" si="262"/>
        <v>-165.01369187521129</v>
      </c>
      <c r="W557" s="334">
        <f t="shared" si="263"/>
        <v>14.986308124788707</v>
      </c>
      <c r="Y557" s="307">
        <f t="shared" si="264"/>
        <v>89125</v>
      </c>
      <c r="Z557" s="307">
        <f t="shared" si="265"/>
        <v>7943265625</v>
      </c>
      <c r="AB557" s="333">
        <f t="shared" si="266"/>
        <v>32.52933695929525</v>
      </c>
      <c r="AC557" s="334">
        <f t="shared" si="267"/>
        <v>-41.670280152792607</v>
      </c>
      <c r="AE557" s="333">
        <f t="shared" si="268"/>
        <v>-16.313572020378068</v>
      </c>
      <c r="AF557" s="334">
        <f t="shared" si="269"/>
        <v>-109.65562643858809</v>
      </c>
      <c r="AH557">
        <f t="shared" si="270"/>
        <v>0</v>
      </c>
      <c r="AI557">
        <f t="shared" si="275"/>
        <v>0</v>
      </c>
    </row>
    <row r="558" spans="1:35" x14ac:dyDescent="0.25">
      <c r="A558" s="335">
        <v>89644</v>
      </c>
      <c r="B558" s="352">
        <f t="shared" si="271"/>
        <v>89.644000000000005</v>
      </c>
      <c r="C558" s="325">
        <f t="shared" si="246"/>
        <v>190.94135324778341</v>
      </c>
      <c r="D558" s="326">
        <f t="shared" si="247"/>
        <v>1.5655590926680711</v>
      </c>
      <c r="E558" s="326">
        <f t="shared" si="248"/>
        <v>1.0250658834012119</v>
      </c>
      <c r="F558" s="327">
        <f t="shared" si="249"/>
        <v>0.22159991617448274</v>
      </c>
      <c r="G558" s="326">
        <f t="shared" si="250"/>
        <v>1</v>
      </c>
      <c r="H558" s="327">
        <f t="shared" si="251"/>
        <v>0</v>
      </c>
      <c r="I558" s="325">
        <f t="shared" si="252"/>
        <v>29580.275308297721</v>
      </c>
      <c r="J558" s="328">
        <f t="shared" si="253"/>
        <v>1.570762520483435</v>
      </c>
      <c r="K558" s="336">
        <f t="shared" si="273"/>
        <v>20.946363521032485</v>
      </c>
      <c r="L558" s="337">
        <f t="shared" si="274"/>
        <v>1.5230371892217771</v>
      </c>
      <c r="M558" s="325">
        <f t="shared" si="254"/>
        <v>1.2882653631372418</v>
      </c>
      <c r="N558" s="337">
        <f t="shared" si="255"/>
        <v>0.68212054211222228</v>
      </c>
      <c r="O558" s="343">
        <f t="shared" si="256"/>
        <v>1.1275431178109447</v>
      </c>
      <c r="P558" s="691">
        <f t="shared" si="257"/>
        <v>0.4802400569902126</v>
      </c>
      <c r="Q558" s="336">
        <f t="shared" si="272"/>
        <v>5.5100813442074497</v>
      </c>
      <c r="R558" s="692">
        <f t="shared" si="258"/>
        <v>0.71965656787379728</v>
      </c>
      <c r="S558" s="329">
        <f t="shared" si="259"/>
        <v>0.95738987037577117</v>
      </c>
      <c r="T558" s="330">
        <f t="shared" si="260"/>
        <v>0.5725929186791201</v>
      </c>
      <c r="U558" s="331">
        <f t="shared" si="261"/>
        <v>-9.6715328269207284</v>
      </c>
      <c r="V558" s="332">
        <f t="shared" si="262"/>
        <v>-165.34499031802585</v>
      </c>
      <c r="W558" s="334">
        <f t="shared" si="263"/>
        <v>14.65500968197415</v>
      </c>
      <c r="Y558" s="307">
        <f t="shared" si="264"/>
        <v>89644</v>
      </c>
      <c r="Z558" s="307">
        <f t="shared" si="265"/>
        <v>8036046736</v>
      </c>
      <c r="AB558" s="333">
        <f t="shared" si="266"/>
        <v>32.50924628730413</v>
      </c>
      <c r="AC558" s="334">
        <f t="shared" si="267"/>
        <v>-41.817088287145829</v>
      </c>
      <c r="AE558" s="333">
        <f t="shared" si="268"/>
        <v>-16.359082251766562</v>
      </c>
      <c r="AF558" s="334">
        <f t="shared" si="269"/>
        <v>-109.81034639582809</v>
      </c>
      <c r="AH558">
        <f t="shared" si="270"/>
        <v>0</v>
      </c>
      <c r="AI558">
        <f t="shared" si="275"/>
        <v>0</v>
      </c>
    </row>
    <row r="559" spans="1:35" x14ac:dyDescent="0.25">
      <c r="A559" s="335">
        <v>90163</v>
      </c>
      <c r="B559" s="352">
        <f t="shared" si="271"/>
        <v>90.162999999999997</v>
      </c>
      <c r="C559" s="325">
        <f t="shared" si="246"/>
        <v>192.04679089052979</v>
      </c>
      <c r="D559" s="326">
        <f t="shared" si="247"/>
        <v>1.565589238905857</v>
      </c>
      <c r="E559" s="326">
        <f t="shared" si="248"/>
        <v>1.0253533656285674</v>
      </c>
      <c r="F559" s="327">
        <f t="shared" si="249"/>
        <v>0.2228409453394409</v>
      </c>
      <c r="G559" s="326">
        <f t="shared" si="250"/>
        <v>1</v>
      </c>
      <c r="H559" s="327">
        <f t="shared" si="251"/>
        <v>0</v>
      </c>
      <c r="I559" s="325">
        <f t="shared" si="252"/>
        <v>29751.532312308158</v>
      </c>
      <c r="J559" s="328">
        <f t="shared" si="253"/>
        <v>1.5707627150807271</v>
      </c>
      <c r="K559" s="336">
        <f t="shared" si="273"/>
        <v>21.06735830314949</v>
      </c>
      <c r="L559" s="337">
        <f t="shared" si="274"/>
        <v>1.5233116880959621</v>
      </c>
      <c r="M559" s="325">
        <f t="shared" si="254"/>
        <v>1.2912349413267783</v>
      </c>
      <c r="N559" s="337">
        <f t="shared" si="255"/>
        <v>0.68494727996036364</v>
      </c>
      <c r="O559" s="343">
        <f t="shared" si="256"/>
        <v>1.128939598348442</v>
      </c>
      <c r="P559" s="691">
        <f t="shared" si="257"/>
        <v>0.48260930416845421</v>
      </c>
      <c r="Q559" s="336">
        <f t="shared" si="272"/>
        <v>5.5238517207265723</v>
      </c>
      <c r="R559" s="692">
        <f t="shared" si="258"/>
        <v>0.72253696209371454</v>
      </c>
      <c r="S559" s="329">
        <f t="shared" si="259"/>
        <v>0.95711804774157627</v>
      </c>
      <c r="T559" s="330">
        <f t="shared" si="260"/>
        <v>0.57651416657555488</v>
      </c>
      <c r="U559" s="331">
        <f t="shared" si="261"/>
        <v>-9.7478133962483842</v>
      </c>
      <c r="V559" s="332">
        <f t="shared" si="262"/>
        <v>-165.67581303140136</v>
      </c>
      <c r="W559" s="334">
        <f t="shared" si="263"/>
        <v>14.324186968598639</v>
      </c>
      <c r="Y559" s="307">
        <f t="shared" si="264"/>
        <v>90163</v>
      </c>
      <c r="Z559" s="307">
        <f t="shared" si="265"/>
        <v>8129366569</v>
      </c>
      <c r="AB559" s="333">
        <f t="shared" si="266"/>
        <v>32.489133870192987</v>
      </c>
      <c r="AC559" s="334">
        <f t="shared" si="267"/>
        <v>-41.963331958432981</v>
      </c>
      <c r="AE559" s="333">
        <f t="shared" si="268"/>
        <v>-16.404321327728262</v>
      </c>
      <c r="AF559" s="334">
        <f t="shared" si="269"/>
        <v>-109.96563886968435</v>
      </c>
      <c r="AH559">
        <f t="shared" si="270"/>
        <v>0</v>
      </c>
      <c r="AI559">
        <f t="shared" si="275"/>
        <v>0</v>
      </c>
    </row>
    <row r="560" spans="1:35" x14ac:dyDescent="0.25">
      <c r="A560" s="335">
        <v>90682</v>
      </c>
      <c r="B560" s="352">
        <f t="shared" si="271"/>
        <v>90.682000000000002</v>
      </c>
      <c r="C560" s="325">
        <f t="shared" si="246"/>
        <v>193.15222870580968</v>
      </c>
      <c r="D560" s="326">
        <f t="shared" si="247"/>
        <v>1.5656190400812133</v>
      </c>
      <c r="E560" s="326">
        <f t="shared" si="248"/>
        <v>1.0256424261706811</v>
      </c>
      <c r="F560" s="327">
        <f t="shared" si="249"/>
        <v>0.22408127688626189</v>
      </c>
      <c r="G560" s="326">
        <f t="shared" si="250"/>
        <v>1</v>
      </c>
      <c r="H560" s="327">
        <f t="shared" si="251"/>
        <v>0</v>
      </c>
      <c r="I560" s="325">
        <f t="shared" si="252"/>
        <v>29922.789316319708</v>
      </c>
      <c r="J560" s="328">
        <f t="shared" si="253"/>
        <v>1.5707629074505429</v>
      </c>
      <c r="K560" s="336">
        <f t="shared" si="273"/>
        <v>21.18835465455442</v>
      </c>
      <c r="L560" s="337">
        <f t="shared" si="274"/>
        <v>1.5235830519322247</v>
      </c>
      <c r="M560" s="325">
        <f t="shared" si="254"/>
        <v>1.2942147896652882</v>
      </c>
      <c r="N560" s="337">
        <f t="shared" si="255"/>
        <v>0.68776102343248602</v>
      </c>
      <c r="O560" s="343">
        <f t="shared" si="256"/>
        <v>1.1303424003198466</v>
      </c>
      <c r="P560" s="691">
        <f t="shared" si="257"/>
        <v>0.48497268391701531</v>
      </c>
      <c r="Q560" s="336">
        <f t="shared" si="272"/>
        <v>5.5376670562569732</v>
      </c>
      <c r="R560" s="692">
        <f t="shared" si="258"/>
        <v>0.72540311021196158</v>
      </c>
      <c r="S560" s="329">
        <f t="shared" si="259"/>
        <v>0.95685000106093498</v>
      </c>
      <c r="T560" s="330">
        <f t="shared" si="260"/>
        <v>0.58044508619317703</v>
      </c>
      <c r="U560" s="331">
        <f t="shared" si="261"/>
        <v>-9.8238293741517353</v>
      </c>
      <c r="V560" s="332">
        <f t="shared" si="262"/>
        <v>-166.00616500490545</v>
      </c>
      <c r="W560" s="334">
        <f t="shared" si="263"/>
        <v>13.993834995094545</v>
      </c>
      <c r="Y560" s="307">
        <f t="shared" si="264"/>
        <v>90682</v>
      </c>
      <c r="Z560" s="307">
        <f t="shared" si="265"/>
        <v>8223225124</v>
      </c>
      <c r="AB560" s="333">
        <f t="shared" si="266"/>
        <v>32.469000409431708</v>
      </c>
      <c r="AC560" s="334">
        <f t="shared" si="267"/>
        <v>-42.109010603632754</v>
      </c>
      <c r="AE560" s="333">
        <f t="shared" si="268"/>
        <v>-16.44929351382315</v>
      </c>
      <c r="AF560" s="334">
        <f t="shared" si="269"/>
        <v>-110.12150569230008</v>
      </c>
      <c r="AH560">
        <f t="shared" si="270"/>
        <v>0</v>
      </c>
      <c r="AI560">
        <f t="shared" si="275"/>
        <v>0</v>
      </c>
    </row>
    <row r="561" spans="1:35" x14ac:dyDescent="0.25">
      <c r="A561" s="335">
        <v>91201</v>
      </c>
      <c r="B561" s="352">
        <f t="shared" si="271"/>
        <v>91.200999999999993</v>
      </c>
      <c r="C561" s="325">
        <f t="shared" si="246"/>
        <v>194.25766669067772</v>
      </c>
      <c r="D561" s="326">
        <f t="shared" si="247"/>
        <v>1.5656485020848985</v>
      </c>
      <c r="E561" s="326">
        <f t="shared" si="248"/>
        <v>1.025933063693464</v>
      </c>
      <c r="F561" s="327">
        <f t="shared" si="249"/>
        <v>0.22532090758992712</v>
      </c>
      <c r="G561" s="326">
        <f t="shared" si="250"/>
        <v>1</v>
      </c>
      <c r="H561" s="327">
        <f t="shared" si="251"/>
        <v>0</v>
      </c>
      <c r="I561" s="325">
        <f t="shared" si="252"/>
        <v>30094.046320332349</v>
      </c>
      <c r="J561" s="328">
        <f t="shared" si="253"/>
        <v>1.5707630976309106</v>
      </c>
      <c r="K561" s="336">
        <f t="shared" si="273"/>
        <v>21.309352548515616</v>
      </c>
      <c r="L561" s="337">
        <f t="shared" si="274"/>
        <v>1.5238513340939872</v>
      </c>
      <c r="M561" s="325">
        <f t="shared" si="254"/>
        <v>1.2972048373771674</v>
      </c>
      <c r="N561" s="337">
        <f t="shared" si="255"/>
        <v>0.69056181767748415</v>
      </c>
      <c r="O561" s="343">
        <f t="shared" si="256"/>
        <v>1.1317515002189737</v>
      </c>
      <c r="P561" s="691">
        <f t="shared" si="257"/>
        <v>0.48733019170140263</v>
      </c>
      <c r="Q561" s="336">
        <f t="shared" si="272"/>
        <v>5.551527015217804</v>
      </c>
      <c r="R561" s="692">
        <f t="shared" si="258"/>
        <v>0.72825507266755174</v>
      </c>
      <c r="S561" s="329">
        <f t="shared" si="259"/>
        <v>0.95658582718257334</v>
      </c>
      <c r="T561" s="330">
        <f t="shared" si="260"/>
        <v>0.58438569928190154</v>
      </c>
      <c r="U561" s="331">
        <f t="shared" si="261"/>
        <v>-9.8995838256382171</v>
      </c>
      <c r="V561" s="332">
        <f t="shared" si="262"/>
        <v>-166.33605126124078</v>
      </c>
      <c r="W561" s="334">
        <f t="shared" si="263"/>
        <v>13.663948738759217</v>
      </c>
      <c r="Y561" s="307">
        <f t="shared" si="264"/>
        <v>91201</v>
      </c>
      <c r="Z561" s="307">
        <f t="shared" si="265"/>
        <v>8317622401</v>
      </c>
      <c r="AB561" s="333">
        <f t="shared" si="266"/>
        <v>32.448846599337664</v>
      </c>
      <c r="AC561" s="334">
        <f t="shared" si="267"/>
        <v>-42.254123754266267</v>
      </c>
      <c r="AE561" s="333">
        <f t="shared" si="268"/>
        <v>-16.494003024564091</v>
      </c>
      <c r="AF561" s="334">
        <f t="shared" si="269"/>
        <v>-110.27794863214906</v>
      </c>
      <c r="AH561">
        <f t="shared" si="270"/>
        <v>0</v>
      </c>
      <c r="AI561">
        <f t="shared" si="275"/>
        <v>0</v>
      </c>
    </row>
    <row r="562" spans="1:35" x14ac:dyDescent="0.25">
      <c r="A562" s="335">
        <v>91732</v>
      </c>
      <c r="B562" s="352">
        <f t="shared" si="271"/>
        <v>91.731999999999999</v>
      </c>
      <c r="C562" s="325">
        <f t="shared" si="246"/>
        <v>195.38866410782464</v>
      </c>
      <c r="D562" s="326">
        <f t="shared" si="247"/>
        <v>1.5656783002692598</v>
      </c>
      <c r="E562" s="326">
        <f t="shared" si="248"/>
        <v>1.0262320518567367</v>
      </c>
      <c r="F562" s="327">
        <f t="shared" si="249"/>
        <v>0.2265884715873947</v>
      </c>
      <c r="G562" s="326">
        <f t="shared" si="250"/>
        <v>1</v>
      </c>
      <c r="H562" s="327">
        <f t="shared" si="251"/>
        <v>0</v>
      </c>
      <c r="I562" s="325">
        <f t="shared" si="252"/>
        <v>30269.263023860854</v>
      </c>
      <c r="J562" s="328">
        <f t="shared" si="253"/>
        <v>1.5707632899813015</v>
      </c>
      <c r="K562" s="336">
        <f t="shared" si="273"/>
        <v>21.433149650864898</v>
      </c>
      <c r="L562" s="337">
        <f t="shared" si="274"/>
        <v>1.5241226843263473</v>
      </c>
      <c r="M562" s="325">
        <f t="shared" si="254"/>
        <v>1.3002745015916011</v>
      </c>
      <c r="N562" s="337">
        <f t="shared" si="255"/>
        <v>0.69341401588074258</v>
      </c>
      <c r="O562" s="343">
        <f t="shared" si="256"/>
        <v>1.1331996739960017</v>
      </c>
      <c r="P562" s="691">
        <f t="shared" si="257"/>
        <v>0.48973612671893052</v>
      </c>
      <c r="Q562" s="336">
        <f t="shared" si="272"/>
        <v>5.5657532710385782</v>
      </c>
      <c r="R562" s="692">
        <f t="shared" si="258"/>
        <v>0.73115835836603726</v>
      </c>
      <c r="S562" s="329">
        <f t="shared" si="259"/>
        <v>0.95631965502585714</v>
      </c>
      <c r="T562" s="330">
        <f t="shared" si="260"/>
        <v>0.58842747872250178</v>
      </c>
      <c r="U562" s="331">
        <f t="shared" si="261"/>
        <v>-9.9768223202012365</v>
      </c>
      <c r="V562" s="332">
        <f t="shared" si="262"/>
        <v>-166.67308822029824</v>
      </c>
      <c r="W562" s="334">
        <f t="shared" si="263"/>
        <v>13.32691177970176</v>
      </c>
      <c r="Y562" s="307">
        <f t="shared" si="264"/>
        <v>91732</v>
      </c>
      <c r="Z562" s="307">
        <f t="shared" si="265"/>
        <v>8414759824</v>
      </c>
      <c r="AB562" s="333">
        <f t="shared" si="266"/>
        <v>32.42820646127911</v>
      </c>
      <c r="AC562" s="334">
        <f t="shared" si="267"/>
        <v>-42.402006471598227</v>
      </c>
      <c r="AE562" s="333">
        <f t="shared" si="268"/>
        <v>-16.53947876871144</v>
      </c>
      <c r="AF562" s="334">
        <f t="shared" si="269"/>
        <v>-110.43860677888523</v>
      </c>
      <c r="AH562">
        <f t="shared" si="270"/>
        <v>0</v>
      </c>
      <c r="AI562">
        <f t="shared" si="275"/>
        <v>0</v>
      </c>
    </row>
    <row r="563" spans="1:35" x14ac:dyDescent="0.25">
      <c r="A563" s="335">
        <v>92263</v>
      </c>
      <c r="B563" s="352">
        <f t="shared" si="271"/>
        <v>92.263000000000005</v>
      </c>
      <c r="C563" s="325">
        <f t="shared" si="246"/>
        <v>196.51966169646639</v>
      </c>
      <c r="D563" s="326">
        <f t="shared" si="247"/>
        <v>1.5657077554683765</v>
      </c>
      <c r="E563" s="326">
        <f t="shared" si="248"/>
        <v>1.0265326879239767</v>
      </c>
      <c r="F563" s="327">
        <f t="shared" si="249"/>
        <v>0.22785529516762834</v>
      </c>
      <c r="G563" s="326">
        <f t="shared" si="250"/>
        <v>1</v>
      </c>
      <c r="H563" s="327">
        <f t="shared" si="251"/>
        <v>0</v>
      </c>
      <c r="I563" s="325">
        <f t="shared" si="252"/>
        <v>30444.479727390462</v>
      </c>
      <c r="J563" s="328">
        <f t="shared" si="253"/>
        <v>1.5707634801176291</v>
      </c>
      <c r="K563" s="336">
        <f t="shared" si="273"/>
        <v>21.556948313231349</v>
      </c>
      <c r="L563" s="337">
        <f t="shared" si="274"/>
        <v>1.5243909179223021</v>
      </c>
      <c r="M563" s="325">
        <f t="shared" si="254"/>
        <v>1.3033546937084042</v>
      </c>
      <c r="N563" s="337">
        <f t="shared" si="255"/>
        <v>0.69625275600041758</v>
      </c>
      <c r="O563" s="343">
        <f t="shared" si="256"/>
        <v>1.1346543905595587</v>
      </c>
      <c r="P563" s="691">
        <f t="shared" si="257"/>
        <v>0.49213590640052102</v>
      </c>
      <c r="Q563" s="336">
        <f t="shared" si="272"/>
        <v>5.5800255342341867</v>
      </c>
      <c r="R563" s="692">
        <f t="shared" si="258"/>
        <v>0.73404692380064251</v>
      </c>
      <c r="S563" s="329">
        <f t="shared" si="259"/>
        <v>0.95605774384805453</v>
      </c>
      <c r="T563" s="330">
        <f t="shared" si="260"/>
        <v>0.59247944798195751</v>
      </c>
      <c r="U563" s="331">
        <f t="shared" si="261"/>
        <v>-10.053793440317612</v>
      </c>
      <c r="V563" s="332">
        <f t="shared" si="262"/>
        <v>-167.00964840178847</v>
      </c>
      <c r="W563" s="334">
        <f t="shared" si="263"/>
        <v>12.990351598211532</v>
      </c>
      <c r="Y563" s="307">
        <f t="shared" si="264"/>
        <v>92263</v>
      </c>
      <c r="Z563" s="307">
        <f t="shared" si="265"/>
        <v>8512461169</v>
      </c>
      <c r="AB563" s="333">
        <f t="shared" si="266"/>
        <v>32.40754646945048</v>
      </c>
      <c r="AC563" s="334">
        <f t="shared" si="267"/>
        <v>-42.549296540795652</v>
      </c>
      <c r="AE563" s="333">
        <f t="shared" si="268"/>
        <v>-16.584688317250301</v>
      </c>
      <c r="AF563" s="334">
        <f t="shared" si="269"/>
        <v>-110.59987153041212</v>
      </c>
      <c r="AH563">
        <f t="shared" si="270"/>
        <v>0</v>
      </c>
      <c r="AI563">
        <f t="shared" si="275"/>
        <v>0</v>
      </c>
    </row>
    <row r="564" spans="1:35" x14ac:dyDescent="0.25">
      <c r="A564" s="335">
        <v>92794</v>
      </c>
      <c r="B564" s="352">
        <f t="shared" si="271"/>
        <v>92.793999999999997</v>
      </c>
      <c r="C564" s="325">
        <f t="shared" si="246"/>
        <v>197.65065945365905</v>
      </c>
      <c r="D564" s="326">
        <f t="shared" si="247"/>
        <v>1.5657368735700938</v>
      </c>
      <c r="E564" s="326">
        <f t="shared" si="248"/>
        <v>1.0268349704477671</v>
      </c>
      <c r="F564" s="327">
        <f t="shared" si="249"/>
        <v>0.22912137491665416</v>
      </c>
      <c r="G564" s="326">
        <f t="shared" si="250"/>
        <v>1</v>
      </c>
      <c r="H564" s="327">
        <f t="shared" si="251"/>
        <v>0</v>
      </c>
      <c r="I564" s="325">
        <f t="shared" si="252"/>
        <v>30619.696430921158</v>
      </c>
      <c r="J564" s="328">
        <f t="shared" si="253"/>
        <v>1.5707636680779027</v>
      </c>
      <c r="K564" s="336">
        <f t="shared" si="273"/>
        <v>21.680748508891536</v>
      </c>
      <c r="L564" s="337">
        <f t="shared" si="274"/>
        <v>1.524656088232246</v>
      </c>
      <c r="M564" s="325">
        <f t="shared" si="254"/>
        <v>1.3064453392630131</v>
      </c>
      <c r="N564" s="337">
        <f t="shared" si="255"/>
        <v>0.69907808763627399</v>
      </c>
      <c r="O564" s="343">
        <f t="shared" si="256"/>
        <v>1.1361156247769038</v>
      </c>
      <c r="P564" s="691">
        <f t="shared" si="257"/>
        <v>0.49452952680336787</v>
      </c>
      <c r="Q564" s="336">
        <f t="shared" si="272"/>
        <v>5.59434345275828</v>
      </c>
      <c r="R564" s="692">
        <f t="shared" si="258"/>
        <v>0.73692083464990799</v>
      </c>
      <c r="S564" s="329">
        <f t="shared" si="259"/>
        <v>0.95580019930691451</v>
      </c>
      <c r="T564" s="330">
        <f t="shared" si="260"/>
        <v>0.59654162712784808</v>
      </c>
      <c r="U564" s="331">
        <f t="shared" si="261"/>
        <v>-10.1305003640205</v>
      </c>
      <c r="V564" s="332">
        <f t="shared" si="262"/>
        <v>-167.34573726474576</v>
      </c>
      <c r="W564" s="334">
        <f t="shared" si="263"/>
        <v>12.654262735254235</v>
      </c>
      <c r="Y564" s="307">
        <f t="shared" si="264"/>
        <v>92794</v>
      </c>
      <c r="Z564" s="307">
        <f t="shared" si="265"/>
        <v>8610726436</v>
      </c>
      <c r="AB564" s="333">
        <f t="shared" si="266"/>
        <v>32.386867344184019</v>
      </c>
      <c r="AC564" s="334">
        <f t="shared" si="267"/>
        <v>-42.69599374914106</v>
      </c>
      <c r="AE564" s="333">
        <f t="shared" si="268"/>
        <v>-16.629636025917041</v>
      </c>
      <c r="AF564" s="334">
        <f t="shared" si="269"/>
        <v>-110.76174456947236</v>
      </c>
      <c r="AH564">
        <f t="shared" si="270"/>
        <v>0</v>
      </c>
      <c r="AI564">
        <f t="shared" si="275"/>
        <v>0</v>
      </c>
    </row>
    <row r="565" spans="1:35" x14ac:dyDescent="0.25">
      <c r="A565" s="335">
        <v>93325</v>
      </c>
      <c r="B565" s="352">
        <f t="shared" si="271"/>
        <v>93.325000000000003</v>
      </c>
      <c r="C565" s="325">
        <f t="shared" si="246"/>
        <v>198.78165737652563</v>
      </c>
      <c r="D565" s="326">
        <f t="shared" si="247"/>
        <v>1.5657656603282595</v>
      </c>
      <c r="E565" s="326">
        <f t="shared" si="248"/>
        <v>1.0271388979744729</v>
      </c>
      <c r="F565" s="327">
        <f t="shared" si="249"/>
        <v>0.23038670743404477</v>
      </c>
      <c r="G565" s="326">
        <f t="shared" si="250"/>
        <v>1</v>
      </c>
      <c r="H565" s="327">
        <f t="shared" si="251"/>
        <v>0</v>
      </c>
      <c r="I565" s="325">
        <f t="shared" si="252"/>
        <v>30794.913134452927</v>
      </c>
      <c r="J565" s="328">
        <f t="shared" si="253"/>
        <v>1.5707638538992659</v>
      </c>
      <c r="K565" s="336">
        <f t="shared" si="273"/>
        <v>21.804550211728611</v>
      </c>
      <c r="L565" s="337">
        <f t="shared" si="274"/>
        <v>1.5249182473966703</v>
      </c>
      <c r="M565" s="325">
        <f t="shared" si="254"/>
        <v>1.3095463642423089</v>
      </c>
      <c r="N565" s="337">
        <f t="shared" si="255"/>
        <v>0.70189006077690341</v>
      </c>
      <c r="O565" s="343">
        <f t="shared" si="256"/>
        <v>1.1375833515321141</v>
      </c>
      <c r="P565" s="691">
        <f t="shared" si="257"/>
        <v>0.49691698428718889</v>
      </c>
      <c r="Q565" s="336">
        <f t="shared" si="272"/>
        <v>5.6087066770390903</v>
      </c>
      <c r="R565" s="692">
        <f t="shared" si="258"/>
        <v>0.73978015687704002</v>
      </c>
      <c r="S565" s="329">
        <f t="shared" si="259"/>
        <v>0.95554712770497052</v>
      </c>
      <c r="T565" s="330">
        <f t="shared" si="260"/>
        <v>0.60061403510597189</v>
      </c>
      <c r="U565" s="331">
        <f t="shared" si="261"/>
        <v>-10.206946236452142</v>
      </c>
      <c r="V565" s="332">
        <f t="shared" si="262"/>
        <v>-167.68136028600543</v>
      </c>
      <c r="W565" s="334">
        <f t="shared" si="263"/>
        <v>12.318639713994571</v>
      </c>
      <c r="Y565" s="307">
        <f t="shared" si="264"/>
        <v>93325</v>
      </c>
      <c r="Z565" s="307">
        <f t="shared" si="265"/>
        <v>8709555625</v>
      </c>
      <c r="AB565" s="333">
        <f t="shared" si="266"/>
        <v>32.366169797970841</v>
      </c>
      <c r="AC565" s="334">
        <f t="shared" si="267"/>
        <v>-42.842097975467901</v>
      </c>
      <c r="AE565" s="333">
        <f t="shared" si="268"/>
        <v>-16.674326199764465</v>
      </c>
      <c r="AF565" s="334">
        <f t="shared" si="269"/>
        <v>-110.92422750608151</v>
      </c>
      <c r="AH565">
        <f t="shared" si="270"/>
        <v>0</v>
      </c>
      <c r="AI565">
        <f t="shared" si="275"/>
        <v>0</v>
      </c>
    </row>
    <row r="566" spans="1:35" x14ac:dyDescent="0.25">
      <c r="A566" s="335">
        <v>93868.5</v>
      </c>
      <c r="B566" s="352">
        <f t="shared" si="271"/>
        <v>93.868499999999997</v>
      </c>
      <c r="C566" s="325">
        <f t="shared" si="246"/>
        <v>199.9392797129162</v>
      </c>
      <c r="D566" s="326">
        <f t="shared" si="247"/>
        <v>1.5657947874741558</v>
      </c>
      <c r="E566" s="326">
        <f t="shared" si="248"/>
        <v>1.0274516821252695</v>
      </c>
      <c r="F566" s="327">
        <f t="shared" si="249"/>
        <v>0.23168104913966855</v>
      </c>
      <c r="G566" s="326">
        <f t="shared" si="250"/>
        <v>1</v>
      </c>
      <c r="H566" s="327">
        <f t="shared" si="251"/>
        <v>0</v>
      </c>
      <c r="I566" s="325">
        <f t="shared" si="252"/>
        <v>30974.254524980406</v>
      </c>
      <c r="J566" s="328">
        <f t="shared" si="253"/>
        <v>1.5707640419178104</v>
      </c>
      <c r="K566" s="336">
        <f t="shared" si="273"/>
        <v>21.93126780144328</v>
      </c>
      <c r="L566" s="337">
        <f t="shared" si="274"/>
        <v>1.5251835127960631</v>
      </c>
      <c r="M566" s="325">
        <f t="shared" si="254"/>
        <v>1.3127310608997305</v>
      </c>
      <c r="N566" s="337">
        <f t="shared" si="255"/>
        <v>0.70475444781306751</v>
      </c>
      <c r="O566" s="343">
        <f t="shared" si="256"/>
        <v>1.1390923266921016</v>
      </c>
      <c r="P566" s="691">
        <f t="shared" si="257"/>
        <v>0.49935425796061367</v>
      </c>
      <c r="Q566" s="336">
        <f t="shared" si="272"/>
        <v>5.6234545744834108</v>
      </c>
      <c r="R566" s="692">
        <f t="shared" si="258"/>
        <v>0.74269175027749956</v>
      </c>
      <c r="S566" s="329">
        <f t="shared" si="259"/>
        <v>0.95529284241700507</v>
      </c>
      <c r="T566" s="330">
        <f t="shared" si="260"/>
        <v>0.60479292099394932</v>
      </c>
      <c r="U566" s="331">
        <f t="shared" si="261"/>
        <v>-10.28492458990706</v>
      </c>
      <c r="V566" s="332">
        <f t="shared" si="262"/>
        <v>-168.02440734779049</v>
      </c>
      <c r="W566" s="334">
        <f t="shared" si="263"/>
        <v>11.975592652209514</v>
      </c>
      <c r="Y566" s="307">
        <f t="shared" si="264"/>
        <v>93868.5</v>
      </c>
      <c r="Z566" s="307">
        <f t="shared" si="265"/>
        <v>8811295292.25</v>
      </c>
      <c r="AB566" s="333">
        <f t="shared" si="266"/>
        <v>32.34496668028963</v>
      </c>
      <c r="AC566" s="334">
        <f t="shared" si="267"/>
        <v>-42.99102744853527</v>
      </c>
      <c r="AE566" s="333">
        <f t="shared" si="268"/>
        <v>-16.719806143589228</v>
      </c>
      <c r="AF566" s="334">
        <f t="shared" si="269"/>
        <v>-111.09116857626927</v>
      </c>
      <c r="AH566">
        <f t="shared" si="270"/>
        <v>0</v>
      </c>
      <c r="AI566">
        <f t="shared" si="275"/>
        <v>0</v>
      </c>
    </row>
    <row r="567" spans="1:35" x14ac:dyDescent="0.25">
      <c r="A567" s="335">
        <v>94412</v>
      </c>
      <c r="B567" s="352">
        <f t="shared" si="271"/>
        <v>94.412000000000006</v>
      </c>
      <c r="C567" s="325">
        <f t="shared" si="246"/>
        <v>201.09690221698045</v>
      </c>
      <c r="D567" s="326">
        <f t="shared" si="247"/>
        <v>1.565823579276874</v>
      </c>
      <c r="E567" s="326">
        <f t="shared" si="248"/>
        <v>1.0277661865374932</v>
      </c>
      <c r="F567" s="327">
        <f t="shared" si="249"/>
        <v>0.23297460085413266</v>
      </c>
      <c r="G567" s="326">
        <f t="shared" si="250"/>
        <v>1</v>
      </c>
      <c r="H567" s="327">
        <f t="shared" si="251"/>
        <v>0</v>
      </c>
      <c r="I567" s="325">
        <f t="shared" si="252"/>
        <v>31153.595915508969</v>
      </c>
      <c r="J567" s="328">
        <f t="shared" si="253"/>
        <v>1.5707642277716287</v>
      </c>
      <c r="K567" s="336">
        <f t="shared" si="273"/>
        <v>22.057986916636903</v>
      </c>
      <c r="L567" s="337">
        <f t="shared" si="274"/>
        <v>1.5254457304109705</v>
      </c>
      <c r="M567" s="325">
        <f t="shared" si="254"/>
        <v>1.3159264759553242</v>
      </c>
      <c r="N567" s="337">
        <f t="shared" si="255"/>
        <v>0.70760494717447786</v>
      </c>
      <c r="O567" s="343">
        <f t="shared" si="256"/>
        <v>1.1406080504784804</v>
      </c>
      <c r="P567" s="691">
        <f t="shared" si="257"/>
        <v>0.50178506838520542</v>
      </c>
      <c r="Q567" s="336">
        <f t="shared" si="272"/>
        <v>5.6382492026883426</v>
      </c>
      <c r="R567" s="692">
        <f t="shared" si="258"/>
        <v>0.74558820080170141</v>
      </c>
      <c r="S567" s="329">
        <f t="shared" si="259"/>
        <v>0.95504347054291838</v>
      </c>
      <c r="T567" s="330">
        <f t="shared" si="260"/>
        <v>0.60898255945533364</v>
      </c>
      <c r="U567" s="331">
        <f t="shared" si="261"/>
        <v>-10.36263602356148</v>
      </c>
      <c r="V567" s="332">
        <f t="shared" si="262"/>
        <v>-168.36697802604905</v>
      </c>
      <c r="W567" s="334">
        <f t="shared" si="263"/>
        <v>11.633021973950946</v>
      </c>
      <c r="Y567" s="307">
        <f t="shared" si="264"/>
        <v>94412</v>
      </c>
      <c r="Z567" s="307">
        <f t="shared" si="265"/>
        <v>8913625744</v>
      </c>
      <c r="AB567" s="333">
        <f t="shared" si="266"/>
        <v>32.323745749481006</v>
      </c>
      <c r="AC567" s="334">
        <f t="shared" si="267"/>
        <v>-43.139335717609498</v>
      </c>
      <c r="AE567" s="333">
        <f t="shared" si="268"/>
        <v>-16.765025253892478</v>
      </c>
      <c r="AF567" s="334">
        <f t="shared" si="269"/>
        <v>-111.2587517729434</v>
      </c>
      <c r="AH567">
        <f t="shared" si="270"/>
        <v>0</v>
      </c>
      <c r="AI567">
        <f t="shared" si="275"/>
        <v>0</v>
      </c>
    </row>
    <row r="568" spans="1:35" x14ac:dyDescent="0.25">
      <c r="A568" s="335">
        <v>94955.5</v>
      </c>
      <c r="B568" s="352">
        <f t="shared" si="271"/>
        <v>94.955500000000001</v>
      </c>
      <c r="C568" s="325">
        <f t="shared" si="246"/>
        <v>202.25452488583932</v>
      </c>
      <c r="D568" s="326">
        <f t="shared" si="247"/>
        <v>1.5658520414944701</v>
      </c>
      <c r="E568" s="326">
        <f t="shared" si="248"/>
        <v>1.0280824096323899</v>
      </c>
      <c r="F568" s="327">
        <f t="shared" si="249"/>
        <v>0.23426735897550033</v>
      </c>
      <c r="G568" s="326">
        <f t="shared" si="250"/>
        <v>1</v>
      </c>
      <c r="H568" s="327">
        <f t="shared" si="251"/>
        <v>0</v>
      </c>
      <c r="I568" s="325">
        <f t="shared" si="252"/>
        <v>31332.937306038599</v>
      </c>
      <c r="J568" s="328">
        <f t="shared" si="253"/>
        <v>1.5707644114978914</v>
      </c>
      <c r="K568" s="336">
        <f t="shared" si="273"/>
        <v>22.184707531168851</v>
      </c>
      <c r="L568" s="337">
        <f t="shared" si="274"/>
        <v>1.5257049524325013</v>
      </c>
      <c r="M568" s="325">
        <f t="shared" si="254"/>
        <v>1.3191325315176063</v>
      </c>
      <c r="N568" s="337">
        <f t="shared" si="255"/>
        <v>0.71044161362938674</v>
      </c>
      <c r="O568" s="343">
        <f t="shared" si="256"/>
        <v>1.1421304960229024</v>
      </c>
      <c r="P568" s="691">
        <f t="shared" si="257"/>
        <v>0.50420941262384478</v>
      </c>
      <c r="Q568" s="336">
        <f t="shared" si="272"/>
        <v>5.6530901948400096</v>
      </c>
      <c r="R568" s="692">
        <f t="shared" si="258"/>
        <v>0.74846957999621033</v>
      </c>
      <c r="S568" s="329">
        <f t="shared" si="259"/>
        <v>0.95479912814182477</v>
      </c>
      <c r="T568" s="330">
        <f t="shared" si="260"/>
        <v>0.6131829670406358</v>
      </c>
      <c r="U568" s="331">
        <f t="shared" si="261"/>
        <v>-10.440083810002402</v>
      </c>
      <c r="V568" s="332">
        <f t="shared" si="262"/>
        <v>-168.70907822273347</v>
      </c>
      <c r="W568" s="334">
        <f t="shared" si="263"/>
        <v>11.290921777266533</v>
      </c>
      <c r="Y568" s="307">
        <f t="shared" si="264"/>
        <v>94955.5</v>
      </c>
      <c r="Z568" s="307">
        <f t="shared" si="265"/>
        <v>9016546980.25</v>
      </c>
      <c r="AB568" s="333">
        <f t="shared" si="266"/>
        <v>32.302507744084352</v>
      </c>
      <c r="AC568" s="334">
        <f t="shared" si="267"/>
        <v>-43.287022932479744</v>
      </c>
      <c r="AE568" s="333">
        <f t="shared" si="268"/>
        <v>-16.809987989869029</v>
      </c>
      <c r="AF568" s="334">
        <f t="shared" si="269"/>
        <v>-111.42697858066637</v>
      </c>
      <c r="AH568">
        <f t="shared" si="270"/>
        <v>0</v>
      </c>
      <c r="AI568">
        <f t="shared" si="275"/>
        <v>0</v>
      </c>
    </row>
    <row r="569" spans="1:35" x14ac:dyDescent="0.25">
      <c r="A569" s="335">
        <v>95499</v>
      </c>
      <c r="B569" s="352">
        <f t="shared" si="271"/>
        <v>95.498999999999995</v>
      </c>
      <c r="C569" s="325">
        <f t="shared" si="246"/>
        <v>203.41214771667924</v>
      </c>
      <c r="D569" s="326">
        <f t="shared" si="247"/>
        <v>1.5658801797539252</v>
      </c>
      <c r="E569" s="326">
        <f t="shared" si="248"/>
        <v>1.0284003498245249</v>
      </c>
      <c r="F569" s="327">
        <f t="shared" si="249"/>
        <v>0.23555931991686316</v>
      </c>
      <c r="G569" s="326">
        <f t="shared" si="250"/>
        <v>1</v>
      </c>
      <c r="H569" s="327">
        <f t="shared" si="251"/>
        <v>0</v>
      </c>
      <c r="I569" s="325">
        <f t="shared" si="252"/>
        <v>31512.278696569272</v>
      </c>
      <c r="J569" s="328">
        <f t="shared" si="253"/>
        <v>1.5707645931329233</v>
      </c>
      <c r="K569" s="336">
        <f t="shared" si="273"/>
        <v>22.311429619492074</v>
      </c>
      <c r="L569" s="337">
        <f t="shared" si="274"/>
        <v>1.5259612298676768</v>
      </c>
      <c r="M569" s="325">
        <f t="shared" si="254"/>
        <v>1.3223491501923701</v>
      </c>
      <c r="N569" s="337">
        <f t="shared" si="255"/>
        <v>0.71326450230626426</v>
      </c>
      <c r="O569" s="343">
        <f t="shared" si="256"/>
        <v>1.1436596364812519</v>
      </c>
      <c r="P569" s="691">
        <f t="shared" si="257"/>
        <v>0.50662728805905299</v>
      </c>
      <c r="Q569" s="336">
        <f t="shared" si="272"/>
        <v>5.6679771868230553</v>
      </c>
      <c r="R569" s="692">
        <f t="shared" si="258"/>
        <v>0.75133595964561317</v>
      </c>
      <c r="S569" s="329">
        <f t="shared" si="259"/>
        <v>0.95455993196136113</v>
      </c>
      <c r="T569" s="330">
        <f t="shared" si="260"/>
        <v>0.61739415899208316</v>
      </c>
      <c r="U569" s="331">
        <f t="shared" si="261"/>
        <v>-10.517271190366543</v>
      </c>
      <c r="V569" s="332">
        <f t="shared" si="262"/>
        <v>-169.0507138402233</v>
      </c>
      <c r="W569" s="334">
        <f t="shared" si="263"/>
        <v>10.949286159776705</v>
      </c>
      <c r="Y569" s="307">
        <f t="shared" si="264"/>
        <v>95499</v>
      </c>
      <c r="Z569" s="307">
        <f t="shared" si="265"/>
        <v>9120059001</v>
      </c>
      <c r="AB569" s="333">
        <f t="shared" si="266"/>
        <v>32.28125339408291</v>
      </c>
      <c r="AC569" s="334">
        <f t="shared" si="267"/>
        <v>-43.434089331368888</v>
      </c>
      <c r="AE569" s="333">
        <f t="shared" si="268"/>
        <v>-16.854698760254458</v>
      </c>
      <c r="AF569" s="334">
        <f t="shared" si="269"/>
        <v>-111.59585040067054</v>
      </c>
      <c r="AH569">
        <f t="shared" si="270"/>
        <v>0</v>
      </c>
      <c r="AI569">
        <f t="shared" si="275"/>
        <v>0</v>
      </c>
    </row>
    <row r="570" spans="1:35" x14ac:dyDescent="0.25">
      <c r="A570" s="335">
        <v>96611.5</v>
      </c>
      <c r="B570" s="352">
        <f t="shared" si="271"/>
        <v>96.611500000000007</v>
      </c>
      <c r="C570" s="325">
        <f t="shared" si="246"/>
        <v>205.78170736266401</v>
      </c>
      <c r="D570" s="326">
        <f t="shared" si="247"/>
        <v>1.565936789236005</v>
      </c>
      <c r="E570" s="326">
        <f t="shared" si="248"/>
        <v>1.0290564952504611</v>
      </c>
      <c r="F570" s="327">
        <f t="shared" si="249"/>
        <v>0.23820135725060695</v>
      </c>
      <c r="G570" s="326">
        <f t="shared" si="250"/>
        <v>1</v>
      </c>
      <c r="H570" s="327">
        <f t="shared" si="251"/>
        <v>0</v>
      </c>
      <c r="I570" s="325">
        <f t="shared" si="252"/>
        <v>31879.375839103046</v>
      </c>
      <c r="J570" s="328">
        <f t="shared" si="253"/>
        <v>1.5707649585521428</v>
      </c>
      <c r="K570" s="336">
        <f t="shared" si="273"/>
        <v>22.570823850141505</v>
      </c>
      <c r="L570" s="337">
        <f t="shared" si="274"/>
        <v>1.5264768349040814</v>
      </c>
      <c r="M570" s="325">
        <f t="shared" si="254"/>
        <v>1.3289659222922294</v>
      </c>
      <c r="N570" s="337">
        <f t="shared" si="255"/>
        <v>0.71899999344560639</v>
      </c>
      <c r="O570" s="343">
        <f t="shared" si="256"/>
        <v>1.1468104264054153</v>
      </c>
      <c r="P570" s="691">
        <f t="shared" si="257"/>
        <v>0.51155629948220993</v>
      </c>
      <c r="Q570" s="336">
        <f t="shared" si="272"/>
        <v>5.6985915687897721</v>
      </c>
      <c r="R570" s="692">
        <f t="shared" si="258"/>
        <v>0.75715673269794259</v>
      </c>
      <c r="S570" s="329">
        <f t="shared" si="259"/>
        <v>0.9540868596523181</v>
      </c>
      <c r="T570" s="330">
        <f t="shared" si="260"/>
        <v>0.62604781109086083</v>
      </c>
      <c r="U570" s="331">
        <f t="shared" si="261"/>
        <v>-10.674468862959934</v>
      </c>
      <c r="V570" s="332">
        <f t="shared" si="262"/>
        <v>-169.74859003741895</v>
      </c>
      <c r="W570" s="334">
        <f t="shared" si="263"/>
        <v>10.25140996258105</v>
      </c>
      <c r="Y570" s="307">
        <f t="shared" si="264"/>
        <v>96611.5</v>
      </c>
      <c r="Z570" s="307">
        <f t="shared" si="265"/>
        <v>9333781932.25</v>
      </c>
      <c r="AB570" s="333">
        <f t="shared" si="266"/>
        <v>32.237699536406495</v>
      </c>
      <c r="AC570" s="334">
        <f t="shared" si="267"/>
        <v>-43.733187711926995</v>
      </c>
      <c r="AE570" s="333">
        <f t="shared" si="268"/>
        <v>-16.945450603744824</v>
      </c>
      <c r="AF570" s="334">
        <f t="shared" si="269"/>
        <v>-111.94353403956637</v>
      </c>
      <c r="AH570">
        <f t="shared" si="270"/>
        <v>0</v>
      </c>
      <c r="AI570">
        <f t="shared" si="275"/>
        <v>0</v>
      </c>
    </row>
    <row r="571" spans="1:35" x14ac:dyDescent="0.25">
      <c r="A571" s="335">
        <v>97724</v>
      </c>
      <c r="B571" s="352">
        <f t="shared" si="271"/>
        <v>97.724000000000004</v>
      </c>
      <c r="C571" s="325">
        <f t="shared" si="246"/>
        <v>208.15126765308943</v>
      </c>
      <c r="D571" s="326">
        <f t="shared" si="247"/>
        <v>1.5659921098519229</v>
      </c>
      <c r="E571" s="326">
        <f t="shared" si="248"/>
        <v>1.0297198146789135</v>
      </c>
      <c r="F571" s="327">
        <f t="shared" si="249"/>
        <v>0.24084000911633127</v>
      </c>
      <c r="G571" s="326">
        <f t="shared" si="250"/>
        <v>1</v>
      </c>
      <c r="H571" s="327">
        <f t="shared" si="251"/>
        <v>0</v>
      </c>
      <c r="I571" s="325">
        <f t="shared" si="252"/>
        <v>32246.472981640978</v>
      </c>
      <c r="J571" s="328">
        <f t="shared" si="253"/>
        <v>1.5707653156514227</v>
      </c>
      <c r="K571" s="336">
        <f t="shared" si="273"/>
        <v>22.83022394485878</v>
      </c>
      <c r="L571" s="337">
        <f t="shared" si="274"/>
        <v>1.5269807233234889</v>
      </c>
      <c r="M571" s="325">
        <f t="shared" si="254"/>
        <v>1.3356259778750612</v>
      </c>
      <c r="N571" s="337">
        <f t="shared" si="255"/>
        <v>0.72467847015771181</v>
      </c>
      <c r="O571" s="343">
        <f t="shared" si="256"/>
        <v>1.1499889251967439</v>
      </c>
      <c r="P571" s="691">
        <f t="shared" si="257"/>
        <v>0.51645818248155129</v>
      </c>
      <c r="Q571" s="336">
        <f t="shared" si="272"/>
        <v>5.7293941083039472</v>
      </c>
      <c r="R571" s="692">
        <f t="shared" si="258"/>
        <v>0.7629155815364016</v>
      </c>
      <c r="S571" s="329">
        <f t="shared" si="259"/>
        <v>0.95363685807259224</v>
      </c>
      <c r="T571" s="330">
        <f t="shared" si="260"/>
        <v>0.63474680671674488</v>
      </c>
      <c r="U571" s="331">
        <f t="shared" si="261"/>
        <v>-10.830616046107524</v>
      </c>
      <c r="V571" s="332">
        <f t="shared" si="262"/>
        <v>-170.44459485182136</v>
      </c>
      <c r="W571" s="334">
        <f t="shared" si="263"/>
        <v>9.555405148178636</v>
      </c>
      <c r="Y571" s="307">
        <f t="shared" si="264"/>
        <v>97724</v>
      </c>
      <c r="Z571" s="307">
        <f t="shared" si="265"/>
        <v>9549980176</v>
      </c>
      <c r="AB571" s="333">
        <f t="shared" si="266"/>
        <v>32.194086286506455</v>
      </c>
      <c r="AC571" s="334">
        <f t="shared" si="267"/>
        <v>-44.029690242436821</v>
      </c>
      <c r="AE571" s="333">
        <f t="shared" si="268"/>
        <v>-17.03520172276874</v>
      </c>
      <c r="AF571" s="334">
        <f t="shared" si="269"/>
        <v>-112.29393579763455</v>
      </c>
      <c r="AH571">
        <f t="shared" si="270"/>
        <v>0</v>
      </c>
      <c r="AI571">
        <f t="shared" si="275"/>
        <v>0</v>
      </c>
    </row>
    <row r="572" spans="1:35" x14ac:dyDescent="0.25">
      <c r="A572" s="335">
        <v>98862</v>
      </c>
      <c r="B572" s="352">
        <f t="shared" si="271"/>
        <v>98.861999999999995</v>
      </c>
      <c r="C572" s="325">
        <f t="shared" si="246"/>
        <v>210.57514210437034</v>
      </c>
      <c r="D572" s="326">
        <f t="shared" si="247"/>
        <v>1.5660474103334487</v>
      </c>
      <c r="E572" s="326">
        <f t="shared" si="248"/>
        <v>1.0304057463817153</v>
      </c>
      <c r="F572" s="327">
        <f t="shared" si="249"/>
        <v>0.24353560823271073</v>
      </c>
      <c r="G572" s="326">
        <f t="shared" si="250"/>
        <v>1</v>
      </c>
      <c r="H572" s="327">
        <f t="shared" si="251"/>
        <v>0</v>
      </c>
      <c r="I572" s="325">
        <f t="shared" si="252"/>
        <v>32621.984485652483</v>
      </c>
      <c r="J572" s="328">
        <f t="shared" si="253"/>
        <v>1.5707656726205439</v>
      </c>
      <c r="K572" s="336">
        <f t="shared" si="273"/>
        <v>23.095575700730883</v>
      </c>
      <c r="L572" s="337">
        <f t="shared" si="274"/>
        <v>1.5274844503338412</v>
      </c>
      <c r="M572" s="325">
        <f t="shared" si="254"/>
        <v>1.3424828023157982</v>
      </c>
      <c r="N572" s="337">
        <f t="shared" si="255"/>
        <v>0.73042862135766107</v>
      </c>
      <c r="O572" s="343">
        <f t="shared" si="256"/>
        <v>1.1532687094353569</v>
      </c>
      <c r="P572" s="691">
        <f t="shared" si="257"/>
        <v>0.52144434428729736</v>
      </c>
      <c r="Q572" s="336">
        <f t="shared" si="272"/>
        <v>5.7610942139431538</v>
      </c>
      <c r="R572" s="692">
        <f t="shared" si="258"/>
        <v>0.76874301094836994</v>
      </c>
      <c r="S572" s="329">
        <f t="shared" si="259"/>
        <v>0.95320148327413035</v>
      </c>
      <c r="T572" s="330">
        <f t="shared" si="260"/>
        <v>0.64369218986706045</v>
      </c>
      <c r="U572" s="331">
        <f t="shared" si="261"/>
        <v>-10.989283259729357</v>
      </c>
      <c r="V572" s="332">
        <f t="shared" si="262"/>
        <v>-171.15466908454289</v>
      </c>
      <c r="W572" s="334">
        <f t="shared" si="263"/>
        <v>8.8453309154571116</v>
      </c>
      <c r="Y572" s="307">
        <f t="shared" si="264"/>
        <v>98862</v>
      </c>
      <c r="Z572" s="307">
        <f t="shared" si="265"/>
        <v>9773695044</v>
      </c>
      <c r="AB572" s="333">
        <f t="shared" si="266"/>
        <v>32.149418091468654</v>
      </c>
      <c r="AC572" s="334">
        <f t="shared" si="267"/>
        <v>-44.330308659203631</v>
      </c>
      <c r="AE572" s="333">
        <f t="shared" si="268"/>
        <v>-17.126012152031493</v>
      </c>
      <c r="AF572" s="334">
        <f t="shared" si="269"/>
        <v>-112.65519053025659</v>
      </c>
      <c r="AH572">
        <f t="shared" si="270"/>
        <v>0</v>
      </c>
      <c r="AI572">
        <f t="shared" si="275"/>
        <v>0</v>
      </c>
    </row>
    <row r="573" spans="1:35" x14ac:dyDescent="0.25">
      <c r="A573" s="335">
        <v>100000</v>
      </c>
      <c r="B573" s="352">
        <f t="shared" si="271"/>
        <v>100</v>
      </c>
      <c r="C573" s="325">
        <f t="shared" si="246"/>
        <v>212.9990171849638</v>
      </c>
      <c r="D573" s="326">
        <f t="shared" si="247"/>
        <v>1.5661014522040797</v>
      </c>
      <c r="E573" s="326">
        <f t="shared" si="248"/>
        <v>1.0310991552816915</v>
      </c>
      <c r="F573" s="327">
        <f t="shared" si="249"/>
        <v>0.24622760133479116</v>
      </c>
      <c r="G573" s="326">
        <f t="shared" si="250"/>
        <v>1</v>
      </c>
      <c r="H573" s="327">
        <f t="shared" si="251"/>
        <v>0</v>
      </c>
      <c r="I573" s="325">
        <f t="shared" si="252"/>
        <v>32997.495989668038</v>
      </c>
      <c r="J573" s="328">
        <f t="shared" si="253"/>
        <v>1.5707660214650478</v>
      </c>
      <c r="K573" s="336">
        <f t="shared" si="273"/>
        <v>23.360933183762754</v>
      </c>
      <c r="L573" s="337">
        <f t="shared" si="274"/>
        <v>1.5279767337688011</v>
      </c>
      <c r="M573" s="325">
        <f t="shared" si="254"/>
        <v>1.3493835629649562</v>
      </c>
      <c r="N573" s="337">
        <f t="shared" si="255"/>
        <v>0.7361201464892404</v>
      </c>
      <c r="O573" s="343">
        <f t="shared" si="256"/>
        <v>1.1565770029902722</v>
      </c>
      <c r="P573" s="691">
        <f t="shared" si="257"/>
        <v>0.52640210375433727</v>
      </c>
      <c r="Q573" s="336">
        <f t="shared" si="272"/>
        <v>5.7929848646880409</v>
      </c>
      <c r="R573" s="692">
        <f t="shared" si="258"/>
        <v>0.77450696620042414</v>
      </c>
      <c r="S573" s="329">
        <f t="shared" si="259"/>
        <v>0.95279243658496393</v>
      </c>
      <c r="T573" s="330">
        <f t="shared" si="260"/>
        <v>0.65268515528657689</v>
      </c>
      <c r="U573" s="331">
        <f t="shared" si="261"/>
        <v>-11.146907254320977</v>
      </c>
      <c r="V573" s="332">
        <f t="shared" si="262"/>
        <v>-171.86289078621925</v>
      </c>
      <c r="W573" s="334">
        <f t="shared" si="263"/>
        <v>8.1371092137807466</v>
      </c>
      <c r="Y573" s="307">
        <f t="shared" si="264"/>
        <v>100000</v>
      </c>
      <c r="Z573" s="307">
        <f t="shared" si="265"/>
        <v>10000000000</v>
      </c>
      <c r="AB573" s="333">
        <f t="shared" si="266"/>
        <v>32.104700137847253</v>
      </c>
      <c r="AC573" s="334">
        <f t="shared" si="267"/>
        <v>-44.628223252746558</v>
      </c>
      <c r="AE573" s="333">
        <f t="shared" si="268"/>
        <v>-17.215850742790799</v>
      </c>
      <c r="AF573" s="334">
        <f t="shared" si="269"/>
        <v>-113.01930602239464</v>
      </c>
      <c r="AH573">
        <f t="shared" si="270"/>
        <v>0</v>
      </c>
      <c r="AI573">
        <f t="shared" si="275"/>
        <v>0</v>
      </c>
    </row>
    <row r="574" spans="1:35" x14ac:dyDescent="0.25">
      <c r="A574" s="335">
        <v>101165</v>
      </c>
      <c r="B574" s="352">
        <f t="shared" si="271"/>
        <v>101.16500000000001</v>
      </c>
      <c r="C574" s="325">
        <f t="shared" si="246"/>
        <v>215.48040135500366</v>
      </c>
      <c r="D574" s="326">
        <f t="shared" si="247"/>
        <v>1.5661555168500469</v>
      </c>
      <c r="E574" s="326">
        <f t="shared" si="248"/>
        <v>1.0318167455526095</v>
      </c>
      <c r="F574" s="327">
        <f t="shared" si="249"/>
        <v>0.24897969575539144</v>
      </c>
      <c r="G574" s="326">
        <f t="shared" si="250"/>
        <v>1</v>
      </c>
      <c r="H574" s="327">
        <f t="shared" si="251"/>
        <v>0</v>
      </c>
      <c r="I574" s="325">
        <f t="shared" si="252"/>
        <v>33381.916817596655</v>
      </c>
      <c r="J574" s="328">
        <f t="shared" si="253"/>
        <v>1.5707663704563912</v>
      </c>
      <c r="K574" s="336">
        <f t="shared" si="273"/>
        <v>23.632592225771518</v>
      </c>
      <c r="L574" s="337">
        <f t="shared" si="274"/>
        <v>1.5284692452018007</v>
      </c>
      <c r="M574" s="325">
        <f t="shared" si="254"/>
        <v>1.3564928620210317</v>
      </c>
      <c r="N574" s="337">
        <f t="shared" si="255"/>
        <v>0.74188653103971058</v>
      </c>
      <c r="O574" s="343">
        <f t="shared" si="256"/>
        <v>1.1599930658368298</v>
      </c>
      <c r="P574" s="691">
        <f t="shared" si="257"/>
        <v>0.53144806947022594</v>
      </c>
      <c r="Q574" s="336">
        <f t="shared" si="272"/>
        <v>5.8258262614112599</v>
      </c>
      <c r="R574" s="692">
        <f t="shared" si="258"/>
        <v>0.7803426261331583</v>
      </c>
      <c r="S574" s="329">
        <f t="shared" si="259"/>
        <v>0.95240213164002374</v>
      </c>
      <c r="T574" s="330">
        <f t="shared" si="260"/>
        <v>0.66194080370899622</v>
      </c>
      <c r="U574" s="331">
        <f t="shared" si="261"/>
        <v>-11.307219189694093</v>
      </c>
      <c r="V574" s="332">
        <f t="shared" si="262"/>
        <v>-172.58605147200072</v>
      </c>
      <c r="W574" s="334">
        <f t="shared" si="263"/>
        <v>7.4139485279992812</v>
      </c>
      <c r="Y574" s="307">
        <f t="shared" si="264"/>
        <v>101165</v>
      </c>
      <c r="Z574" s="307">
        <f t="shared" si="265"/>
        <v>10234357225</v>
      </c>
      <c r="AB574" s="333">
        <f t="shared" si="266"/>
        <v>32.058875960110555</v>
      </c>
      <c r="AC574" s="334">
        <f t="shared" si="267"/>
        <v>-44.930413920141483</v>
      </c>
      <c r="AE574" s="333">
        <f t="shared" si="268"/>
        <v>-17.306852607847865</v>
      </c>
      <c r="AF574" s="334">
        <f t="shared" si="269"/>
        <v>-113.39502989499842</v>
      </c>
      <c r="AH574">
        <f t="shared" si="270"/>
        <v>0</v>
      </c>
      <c r="AI574">
        <f t="shared" si="275"/>
        <v>0</v>
      </c>
    </row>
    <row r="575" spans="1:35" x14ac:dyDescent="0.25">
      <c r="A575" s="335">
        <v>102330</v>
      </c>
      <c r="B575" s="352">
        <f t="shared" si="271"/>
        <v>102.33</v>
      </c>
      <c r="C575" s="325">
        <f t="shared" si="246"/>
        <v>217.96178614054875</v>
      </c>
      <c r="D575" s="326">
        <f t="shared" si="247"/>
        <v>1.5662083504988216</v>
      </c>
      <c r="E575" s="326">
        <f t="shared" si="248"/>
        <v>1.032542139931057</v>
      </c>
      <c r="F575" s="327">
        <f t="shared" si="249"/>
        <v>0.25172794409566823</v>
      </c>
      <c r="G575" s="326">
        <f t="shared" si="250"/>
        <v>1</v>
      </c>
      <c r="H575" s="327">
        <f t="shared" si="251"/>
        <v>0</v>
      </c>
      <c r="I575" s="325">
        <f t="shared" si="252"/>
        <v>33766.337645529231</v>
      </c>
      <c r="J575" s="328">
        <f t="shared" si="253"/>
        <v>1.5707667115013861</v>
      </c>
      <c r="K575" s="336">
        <f t="shared" si="273"/>
        <v>23.904256869985026</v>
      </c>
      <c r="L575" s="337">
        <f t="shared" si="274"/>
        <v>1.5289505622626161</v>
      </c>
      <c r="M575" s="325">
        <f t="shared" si="254"/>
        <v>1.3636467949054989</v>
      </c>
      <c r="N575" s="337">
        <f t="shared" si="255"/>
        <v>0.74759260072127576</v>
      </c>
      <c r="O575" s="343">
        <f t="shared" si="256"/>
        <v>1.1634384902800019</v>
      </c>
      <c r="P575" s="691">
        <f t="shared" si="257"/>
        <v>0.53646427588111067</v>
      </c>
      <c r="Q575" s="336">
        <f t="shared" si="272"/>
        <v>5.8588607712427336</v>
      </c>
      <c r="R575" s="692">
        <f t="shared" si="258"/>
        <v>0.78611318977735745</v>
      </c>
      <c r="S575" s="329">
        <f t="shared" si="259"/>
        <v>0.95204181711981806</v>
      </c>
      <c r="T575" s="330">
        <f t="shared" si="260"/>
        <v>0.67124634535410954</v>
      </c>
      <c r="U575" s="331">
        <f t="shared" si="261"/>
        <v>-11.466495894619852</v>
      </c>
      <c r="V575" s="332">
        <f t="shared" si="262"/>
        <v>-173.30738114963438</v>
      </c>
      <c r="W575" s="334">
        <f t="shared" si="263"/>
        <v>6.6926188503656192</v>
      </c>
      <c r="Y575" s="307">
        <f t="shared" si="264"/>
        <v>102330</v>
      </c>
      <c r="Z575" s="307">
        <f t="shared" si="265"/>
        <v>10471428900</v>
      </c>
      <c r="AB575" s="333">
        <f t="shared" si="266"/>
        <v>32.013012241863542</v>
      </c>
      <c r="AC575" s="334">
        <f t="shared" si="267"/>
        <v>-45.229789735091295</v>
      </c>
      <c r="AE575" s="333">
        <f t="shared" si="268"/>
        <v>-17.396913308120823</v>
      </c>
      <c r="AF575" s="334">
        <f t="shared" si="269"/>
        <v>-113.77376227191878</v>
      </c>
      <c r="AH575">
        <f t="shared" si="270"/>
        <v>0</v>
      </c>
      <c r="AI575">
        <f t="shared" si="275"/>
        <v>0</v>
      </c>
    </row>
    <row r="576" spans="1:35" x14ac:dyDescent="0.25">
      <c r="A576" s="335">
        <v>103520</v>
      </c>
      <c r="B576" s="352">
        <f t="shared" si="271"/>
        <v>103.52</v>
      </c>
      <c r="C576" s="325">
        <f t="shared" si="246"/>
        <v>220.49642014049425</v>
      </c>
      <c r="D576" s="326">
        <f t="shared" si="247"/>
        <v>1.566261090225374</v>
      </c>
      <c r="E576" s="326">
        <f t="shared" si="248"/>
        <v>1.0332911407308729</v>
      </c>
      <c r="F576" s="327">
        <f t="shared" si="249"/>
        <v>0.25453116225899713</v>
      </c>
      <c r="G576" s="326">
        <f t="shared" si="250"/>
        <v>1</v>
      </c>
      <c r="H576" s="327">
        <f t="shared" si="251"/>
        <v>0</v>
      </c>
      <c r="I576" s="325">
        <f t="shared" si="252"/>
        <v>34159.007847455752</v>
      </c>
      <c r="J576" s="328">
        <f t="shared" si="253"/>
        <v>1.5707670519399415</v>
      </c>
      <c r="K576" s="336">
        <f t="shared" si="273"/>
        <v>24.181756815091141</v>
      </c>
      <c r="L576" s="337">
        <f t="shared" si="274"/>
        <v>1.5294310428037947</v>
      </c>
      <c r="M576" s="325">
        <f t="shared" si="254"/>
        <v>1.3709995999406563</v>
      </c>
      <c r="N576" s="337">
        <f t="shared" si="255"/>
        <v>0.75335944656365272</v>
      </c>
      <c r="O576" s="343">
        <f t="shared" si="256"/>
        <v>1.1669878939167857</v>
      </c>
      <c r="P576" s="691">
        <f t="shared" si="257"/>
        <v>0.54155741493519016</v>
      </c>
      <c r="Q576" s="336">
        <f t="shared" si="272"/>
        <v>5.8928001735579461</v>
      </c>
      <c r="R576" s="692">
        <f t="shared" si="258"/>
        <v>0.79194113019272416</v>
      </c>
      <c r="S576" s="329">
        <f t="shared" si="259"/>
        <v>0.95170601469298821</v>
      </c>
      <c r="T576" s="330">
        <f t="shared" si="260"/>
        <v>0.68080305096591265</v>
      </c>
      <c r="U576" s="331">
        <f t="shared" si="261"/>
        <v>-11.62815160681857</v>
      </c>
      <c r="V576" s="332">
        <f t="shared" si="262"/>
        <v>-174.04235618520821</v>
      </c>
      <c r="W576" s="334">
        <f t="shared" si="263"/>
        <v>5.9576438147917941</v>
      </c>
      <c r="Y576" s="307">
        <f t="shared" si="264"/>
        <v>103520</v>
      </c>
      <c r="Z576" s="307">
        <f t="shared" si="265"/>
        <v>10716390400</v>
      </c>
      <c r="AB576" s="333">
        <f t="shared" si="266"/>
        <v>31.966129865169762</v>
      </c>
      <c r="AC576" s="334">
        <f t="shared" si="267"/>
        <v>-45.53269566185287</v>
      </c>
      <c r="AE576" s="333">
        <f t="shared" si="268"/>
        <v>-17.48797437520123</v>
      </c>
      <c r="AF576" s="334">
        <f t="shared" si="269"/>
        <v>-114.16373036390063</v>
      </c>
      <c r="AH576">
        <f t="shared" si="270"/>
        <v>0</v>
      </c>
      <c r="AI576">
        <f t="shared" si="275"/>
        <v>0</v>
      </c>
    </row>
    <row r="577" spans="1:35" x14ac:dyDescent="0.25">
      <c r="A577" s="335">
        <v>104710</v>
      </c>
      <c r="B577" s="352">
        <f t="shared" si="271"/>
        <v>104.71</v>
      </c>
      <c r="C577" s="325">
        <f t="shared" si="246"/>
        <v>223.03105473980605</v>
      </c>
      <c r="D577" s="326">
        <f t="shared" si="247"/>
        <v>1.566312631231684</v>
      </c>
      <c r="E577" s="326">
        <f t="shared" si="248"/>
        <v>1.0340482493656979</v>
      </c>
      <c r="F577" s="327">
        <f t="shared" si="249"/>
        <v>0.25733029747517105</v>
      </c>
      <c r="G577" s="326">
        <f t="shared" si="250"/>
        <v>1</v>
      </c>
      <c r="H577" s="327">
        <f t="shared" si="251"/>
        <v>0</v>
      </c>
      <c r="I577" s="325">
        <f t="shared" si="252"/>
        <v>34551.67804938613</v>
      </c>
      <c r="J577" s="328">
        <f t="shared" si="253"/>
        <v>1.5707673846405181</v>
      </c>
      <c r="K577" s="336">
        <f t="shared" si="273"/>
        <v>24.459262216159949</v>
      </c>
      <c r="L577" s="337">
        <f t="shared" si="274"/>
        <v>1.5299006207557393</v>
      </c>
      <c r="M577" s="325">
        <f t="shared" si="254"/>
        <v>1.3783975123275434</v>
      </c>
      <c r="N577" s="337">
        <f t="shared" si="255"/>
        <v>0.75906457868368504</v>
      </c>
      <c r="O577" s="343">
        <f t="shared" si="256"/>
        <v>1.1705673852590071</v>
      </c>
      <c r="P577" s="691">
        <f t="shared" si="257"/>
        <v>0.54661953589925949</v>
      </c>
      <c r="Q577" s="336">
        <f t="shared" si="272"/>
        <v>5.9269342757969232</v>
      </c>
      <c r="R577" s="692">
        <f t="shared" si="258"/>
        <v>0.79770267538298378</v>
      </c>
      <c r="S577" s="329">
        <f t="shared" si="259"/>
        <v>0.95140411630084154</v>
      </c>
      <c r="T577" s="330">
        <f t="shared" si="260"/>
        <v>0.69041170418771658</v>
      </c>
      <c r="U577" s="331">
        <f t="shared" si="261"/>
        <v>-11.788787269619462</v>
      </c>
      <c r="V577" s="332">
        <f t="shared" si="262"/>
        <v>-174.77553418625266</v>
      </c>
      <c r="W577" s="334">
        <f t="shared" si="263"/>
        <v>5.2244658137473436</v>
      </c>
      <c r="Y577" s="307">
        <f t="shared" si="264"/>
        <v>104710</v>
      </c>
      <c r="Z577" s="307">
        <f t="shared" si="265"/>
        <v>10964184100</v>
      </c>
      <c r="AB577" s="333">
        <f t="shared" si="266"/>
        <v>31.91921895988656</v>
      </c>
      <c r="AC577" s="334">
        <f t="shared" si="267"/>
        <v>-45.832689881778101</v>
      </c>
      <c r="AE577" s="333">
        <f t="shared" si="268"/>
        <v>-17.578132565856176</v>
      </c>
      <c r="AF577" s="334">
        <f t="shared" si="269"/>
        <v>-114.55684008872419</v>
      </c>
      <c r="AH577">
        <f t="shared" si="270"/>
        <v>0</v>
      </c>
      <c r="AI577">
        <f t="shared" si="275"/>
        <v>0</v>
      </c>
    </row>
    <row r="578" spans="1:35" x14ac:dyDescent="0.25">
      <c r="A578" s="335">
        <v>105930</v>
      </c>
      <c r="B578" s="352">
        <f t="shared" si="271"/>
        <v>105.93</v>
      </c>
      <c r="C578" s="325">
        <f t="shared" si="246"/>
        <v>225.62958829143722</v>
      </c>
      <c r="D578" s="326">
        <f t="shared" si="247"/>
        <v>1.5663642694506656</v>
      </c>
      <c r="E578" s="326">
        <f t="shared" si="248"/>
        <v>1.0348328431523359</v>
      </c>
      <c r="F578" s="327">
        <f t="shared" si="249"/>
        <v>0.26019572399974356</v>
      </c>
      <c r="G578" s="326">
        <f t="shared" si="250"/>
        <v>1</v>
      </c>
      <c r="H578" s="327">
        <f t="shared" si="251"/>
        <v>0</v>
      </c>
      <c r="I578" s="325">
        <f t="shared" si="252"/>
        <v>34954.247500108555</v>
      </c>
      <c r="J578" s="328">
        <f t="shared" si="253"/>
        <v>1.5707677179684547</v>
      </c>
      <c r="K578" s="336">
        <f t="shared" si="273"/>
        <v>24.74376902355387</v>
      </c>
      <c r="L578" s="337">
        <f t="shared" si="274"/>
        <v>1.5303711022687454</v>
      </c>
      <c r="M578" s="325">
        <f t="shared" si="254"/>
        <v>1.3860279979804304</v>
      </c>
      <c r="N578" s="337">
        <f t="shared" si="255"/>
        <v>0.76485011957352311</v>
      </c>
      <c r="O578" s="343">
        <f t="shared" si="256"/>
        <v>1.1742680628612239</v>
      </c>
      <c r="P578" s="691">
        <f t="shared" si="257"/>
        <v>0.55177709911954487</v>
      </c>
      <c r="Q578" s="336">
        <f t="shared" si="272"/>
        <v>5.9621275260792803</v>
      </c>
      <c r="R578" s="692">
        <f t="shared" si="258"/>
        <v>0.80354134909151564</v>
      </c>
      <c r="S578" s="329">
        <f t="shared" si="259"/>
        <v>0.95113120667934103</v>
      </c>
      <c r="T578" s="330">
        <f t="shared" si="260"/>
        <v>0.70031640457377198</v>
      </c>
      <c r="U578" s="331">
        <f t="shared" si="261"/>
        <v>-11.952444725277509</v>
      </c>
      <c r="V578" s="332">
        <f t="shared" si="262"/>
        <v>-175.52538784701494</v>
      </c>
      <c r="W578" s="334">
        <f t="shared" si="263"/>
        <v>4.4746121529850598</v>
      </c>
      <c r="Y578" s="307">
        <f t="shared" si="264"/>
        <v>105930</v>
      </c>
      <c r="Z578" s="307">
        <f t="shared" si="265"/>
        <v>11221164900</v>
      </c>
      <c r="AB578" s="333">
        <f t="shared" si="266"/>
        <v>31.871102256580613</v>
      </c>
      <c r="AC578" s="334">
        <f t="shared" si="267"/>
        <v>-46.137239450563989</v>
      </c>
      <c r="AE578" s="333">
        <f t="shared" si="268"/>
        <v>-17.669666920261882</v>
      </c>
      <c r="AF578" s="334">
        <f t="shared" si="269"/>
        <v>-114.96311942429737</v>
      </c>
      <c r="AH578">
        <f t="shared" si="270"/>
        <v>0</v>
      </c>
      <c r="AI578">
        <f t="shared" si="275"/>
        <v>0</v>
      </c>
    </row>
    <row r="579" spans="1:35" x14ac:dyDescent="0.25">
      <c r="A579" s="335">
        <v>107150</v>
      </c>
      <c r="B579" s="352">
        <f t="shared" si="271"/>
        <v>107.15</v>
      </c>
      <c r="C579" s="325">
        <f t="shared" si="246"/>
        <v>228.22812243101075</v>
      </c>
      <c r="D579" s="326">
        <f t="shared" si="247"/>
        <v>1.5664147317965038</v>
      </c>
      <c r="E579" s="326">
        <f t="shared" si="248"/>
        <v>1.03562592069422</v>
      </c>
      <c r="F579" s="327">
        <f t="shared" si="249"/>
        <v>0.26305678532494647</v>
      </c>
      <c r="G579" s="326">
        <f t="shared" si="250"/>
        <v>1</v>
      </c>
      <c r="H579" s="327">
        <f t="shared" si="251"/>
        <v>0</v>
      </c>
      <c r="I579" s="325">
        <f t="shared" si="252"/>
        <v>35356.816950834771</v>
      </c>
      <c r="J579" s="328">
        <f t="shared" si="253"/>
        <v>1.5707680437059093</v>
      </c>
      <c r="K579" s="336">
        <f t="shared" si="273"/>
        <v>25.028281183529991</v>
      </c>
      <c r="L579" s="337">
        <f t="shared" si="274"/>
        <v>1.5308308873650931</v>
      </c>
      <c r="M579" s="325">
        <f t="shared" si="254"/>
        <v>1.3937043685233248</v>
      </c>
      <c r="N579" s="337">
        <f t="shared" si="255"/>
        <v>0.77057211799603431</v>
      </c>
      <c r="O579" s="343">
        <f t="shared" si="256"/>
        <v>1.1779997797934869</v>
      </c>
      <c r="P579" s="691">
        <f t="shared" si="257"/>
        <v>0.55690212126297012</v>
      </c>
      <c r="Q579" s="336">
        <f t="shared" si="272"/>
        <v>5.9975183630896085</v>
      </c>
      <c r="R579" s="692">
        <f t="shared" si="258"/>
        <v>0.8093118767821984</v>
      </c>
      <c r="S579" s="329">
        <f t="shared" si="259"/>
        <v>0.95089679802813865</v>
      </c>
      <c r="T579" s="330">
        <f t="shared" si="260"/>
        <v>0.71027542670925337</v>
      </c>
      <c r="U579" s="331">
        <f t="shared" si="261"/>
        <v>-12.115092852257785</v>
      </c>
      <c r="V579" s="332">
        <f t="shared" si="262"/>
        <v>-176.27346834626701</v>
      </c>
      <c r="W579" s="334">
        <f t="shared" si="263"/>
        <v>3.7265316537329909</v>
      </c>
      <c r="Y579" s="307">
        <f t="shared" si="264"/>
        <v>107150</v>
      </c>
      <c r="Z579" s="307">
        <f t="shared" si="265"/>
        <v>11481122500</v>
      </c>
      <c r="AB579" s="333">
        <f t="shared" si="266"/>
        <v>31.822968481436298</v>
      </c>
      <c r="AC579" s="334">
        <f t="shared" si="267"/>
        <v>-46.438760728776558</v>
      </c>
      <c r="AE579" s="333">
        <f t="shared" si="268"/>
        <v>-17.760333965348469</v>
      </c>
      <c r="AF579" s="334">
        <f t="shared" si="269"/>
        <v>-115.37269390178446</v>
      </c>
      <c r="AH579">
        <f t="shared" si="270"/>
        <v>0</v>
      </c>
      <c r="AI579">
        <f t="shared" si="275"/>
        <v>0</v>
      </c>
    </row>
    <row r="580" spans="1:35" x14ac:dyDescent="0.25">
      <c r="A580" s="335">
        <v>108400</v>
      </c>
      <c r="B580" s="352">
        <f t="shared" si="271"/>
        <v>108.4</v>
      </c>
      <c r="C580" s="325">
        <f t="shared" si="246"/>
        <v>230.89055554011432</v>
      </c>
      <c r="D580" s="326">
        <f t="shared" si="247"/>
        <v>1.5664652569335564</v>
      </c>
      <c r="E580" s="326">
        <f t="shared" si="248"/>
        <v>1.0364472790223269</v>
      </c>
      <c r="F580" s="327">
        <f t="shared" si="249"/>
        <v>0.26598363464494351</v>
      </c>
      <c r="G580" s="326">
        <f t="shared" si="250"/>
        <v>1</v>
      </c>
      <c r="H580" s="327">
        <f t="shared" si="251"/>
        <v>0</v>
      </c>
      <c r="I580" s="325">
        <f t="shared" si="252"/>
        <v>35769.285650353144</v>
      </c>
      <c r="J580" s="328">
        <f t="shared" si="253"/>
        <v>1.5707683698485404</v>
      </c>
      <c r="K580" s="336">
        <f t="shared" si="273"/>
        <v>25.319794907112176</v>
      </c>
      <c r="L580" s="337">
        <f t="shared" si="274"/>
        <v>1.5312912613153691</v>
      </c>
      <c r="M580" s="325">
        <f t="shared" si="254"/>
        <v>1.4016163051334698</v>
      </c>
      <c r="N580" s="337">
        <f t="shared" si="255"/>
        <v>0.77636961911544988</v>
      </c>
      <c r="O580" s="343">
        <f t="shared" si="256"/>
        <v>1.1818551463945901</v>
      </c>
      <c r="P580" s="691">
        <f t="shared" si="257"/>
        <v>0.5621194595427611</v>
      </c>
      <c r="Q580" s="336">
        <f t="shared" si="272"/>
        <v>6.0339807664464553</v>
      </c>
      <c r="R580" s="692">
        <f t="shared" si="258"/>
        <v>0.81515448802590407</v>
      </c>
      <c r="S580" s="329">
        <f t="shared" si="259"/>
        <v>0.95069809622418899</v>
      </c>
      <c r="T580" s="330">
        <f t="shared" si="260"/>
        <v>0.72053547020398989</v>
      </c>
      <c r="U580" s="331">
        <f t="shared" si="261"/>
        <v>-12.280726228837953</v>
      </c>
      <c r="V580" s="332">
        <f t="shared" si="262"/>
        <v>-177.03816335080421</v>
      </c>
      <c r="W580" s="334">
        <f t="shared" si="263"/>
        <v>2.9618366491957886</v>
      </c>
      <c r="Y580" s="307">
        <f t="shared" si="264"/>
        <v>108400</v>
      </c>
      <c r="Z580" s="307">
        <f t="shared" si="265"/>
        <v>11750560000</v>
      </c>
      <c r="AB580" s="333">
        <f t="shared" si="266"/>
        <v>31.773639911899565</v>
      </c>
      <c r="AC580" s="334">
        <f t="shared" si="267"/>
        <v>-46.744574277238584</v>
      </c>
      <c r="AE580" s="333">
        <f t="shared" si="268"/>
        <v>-17.852372897507887</v>
      </c>
      <c r="AF580" s="334">
        <f t="shared" si="269"/>
        <v>-115.79574985594282</v>
      </c>
      <c r="AH580">
        <f t="shared" si="270"/>
        <v>0</v>
      </c>
      <c r="AI580">
        <f t="shared" si="275"/>
        <v>0</v>
      </c>
    </row>
    <row r="581" spans="1:35" x14ac:dyDescent="0.25">
      <c r="A581" s="335">
        <v>109650</v>
      </c>
      <c r="B581" s="352">
        <f t="shared" si="271"/>
        <v>109.65</v>
      </c>
      <c r="C581" s="325">
        <f t="shared" si="246"/>
        <v>233.55298922519455</v>
      </c>
      <c r="D581" s="326">
        <f t="shared" si="247"/>
        <v>1.5665146301280641</v>
      </c>
      <c r="E581" s="326">
        <f t="shared" si="248"/>
        <v>1.037277501915749</v>
      </c>
      <c r="F581" s="327">
        <f t="shared" si="249"/>
        <v>0.26890582374321936</v>
      </c>
      <c r="G581" s="326">
        <f t="shared" si="250"/>
        <v>1</v>
      </c>
      <c r="H581" s="327">
        <f t="shared" si="251"/>
        <v>0</v>
      </c>
      <c r="I581" s="325">
        <f t="shared" si="252"/>
        <v>36181.754349875227</v>
      </c>
      <c r="J581" s="328">
        <f t="shared" si="253"/>
        <v>1.570768688555179</v>
      </c>
      <c r="K581" s="336">
        <f t="shared" si="273"/>
        <v>25.611313874913968</v>
      </c>
      <c r="L581" s="337">
        <f t="shared" si="274"/>
        <v>1.5317411550113753</v>
      </c>
      <c r="M581" s="325">
        <f t="shared" si="254"/>
        <v>1.4095748217249768</v>
      </c>
      <c r="N581" s="337">
        <f t="shared" si="255"/>
        <v>0.78210184524393067</v>
      </c>
      <c r="O581" s="343">
        <f t="shared" si="256"/>
        <v>1.1857424741122984</v>
      </c>
      <c r="P581" s="691">
        <f t="shared" si="257"/>
        <v>0.56730272919525826</v>
      </c>
      <c r="Q581" s="336">
        <f t="shared" si="272"/>
        <v>6.0706432736141087</v>
      </c>
      <c r="R581" s="692">
        <f t="shared" si="258"/>
        <v>0.8209273175033347</v>
      </c>
      <c r="S581" s="329">
        <f t="shared" si="259"/>
        <v>0.95054295253758669</v>
      </c>
      <c r="T581" s="330">
        <f t="shared" si="260"/>
        <v>0.73085205593066171</v>
      </c>
      <c r="U581" s="331">
        <f t="shared" si="261"/>
        <v>-12.445365786765985</v>
      </c>
      <c r="V581" s="332">
        <f t="shared" si="262"/>
        <v>-177.80111285084561</v>
      </c>
      <c r="W581" s="334">
        <f t="shared" si="263"/>
        <v>2.1988871491543875</v>
      </c>
      <c r="Y581" s="307">
        <f t="shared" si="264"/>
        <v>109650</v>
      </c>
      <c r="Z581" s="307">
        <f t="shared" si="265"/>
        <v>12023122500</v>
      </c>
      <c r="AB581" s="333">
        <f t="shared" si="266"/>
        <v>31.724306485220502</v>
      </c>
      <c r="AC581" s="334">
        <f t="shared" si="267"/>
        <v>-47.047247892495598</v>
      </c>
      <c r="AE581" s="333">
        <f t="shared" si="268"/>
        <v>-17.943585715320086</v>
      </c>
      <c r="AF581" s="334">
        <f t="shared" si="269"/>
        <v>-116.22224645094934</v>
      </c>
      <c r="AH581">
        <f t="shared" si="270"/>
        <v>0</v>
      </c>
      <c r="AI581">
        <f t="shared" si="275"/>
        <v>0</v>
      </c>
    </row>
    <row r="582" spans="1:35" x14ac:dyDescent="0.25">
      <c r="A582" s="335">
        <v>110925</v>
      </c>
      <c r="B582" s="352">
        <f t="shared" si="271"/>
        <v>110.925</v>
      </c>
      <c r="C582" s="325">
        <f t="shared" si="246"/>
        <v>236.26867215715436</v>
      </c>
      <c r="D582" s="326">
        <f t="shared" si="247"/>
        <v>1.5665638444411116</v>
      </c>
      <c r="E582" s="326">
        <f t="shared" si="248"/>
        <v>1.0381334394850141</v>
      </c>
      <c r="F582" s="327">
        <f t="shared" si="249"/>
        <v>0.27188161556705343</v>
      </c>
      <c r="G582" s="326">
        <f t="shared" si="250"/>
        <v>1</v>
      </c>
      <c r="H582" s="327">
        <f t="shared" si="251"/>
        <v>0</v>
      </c>
      <c r="I582" s="325">
        <f t="shared" si="252"/>
        <v>36602.472423391468</v>
      </c>
      <c r="J582" s="328">
        <f t="shared" si="253"/>
        <v>1.5707690062360951</v>
      </c>
      <c r="K582" s="336">
        <f t="shared" si="273"/>
        <v>25.908668441084416</v>
      </c>
      <c r="L582" s="337">
        <f t="shared" si="274"/>
        <v>1.5321896165160285</v>
      </c>
      <c r="M582" s="325">
        <f t="shared" si="254"/>
        <v>1.4177396818105397</v>
      </c>
      <c r="N582" s="337">
        <f t="shared" si="255"/>
        <v>0.78788222234757588</v>
      </c>
      <c r="O582" s="343">
        <f t="shared" si="256"/>
        <v>1.1897401498135562</v>
      </c>
      <c r="P582" s="691">
        <f t="shared" si="257"/>
        <v>0.57255462570307458</v>
      </c>
      <c r="Q582" s="336">
        <f t="shared" si="272"/>
        <v>6.1082414421585902</v>
      </c>
      <c r="R582" s="692">
        <f t="shared" si="258"/>
        <v>0.82674463218163585</v>
      </c>
      <c r="S582" s="329">
        <f t="shared" si="259"/>
        <v>0.95043124879619534</v>
      </c>
      <c r="T582" s="330">
        <f t="shared" si="260"/>
        <v>0.74143289234873566</v>
      </c>
      <c r="U582" s="331">
        <f t="shared" si="261"/>
        <v>-12.612308147212055</v>
      </c>
      <c r="V582" s="332">
        <f t="shared" si="262"/>
        <v>-178.57758011956753</v>
      </c>
      <c r="W582" s="334">
        <f t="shared" si="263"/>
        <v>1.4224198804324715</v>
      </c>
      <c r="Y582" s="307">
        <f t="shared" si="264"/>
        <v>110925</v>
      </c>
      <c r="Z582" s="307">
        <f t="shared" si="265"/>
        <v>12304355625</v>
      </c>
      <c r="AB582" s="333">
        <f t="shared" si="266"/>
        <v>31.673987919951966</v>
      </c>
      <c r="AC582" s="334">
        <f t="shared" si="267"/>
        <v>-47.352762355162646</v>
      </c>
      <c r="AE582" s="333">
        <f t="shared" si="268"/>
        <v>-18.035814693396166</v>
      </c>
      <c r="AF582" s="334">
        <f t="shared" si="269"/>
        <v>-116.66080318213847</v>
      </c>
      <c r="AH582">
        <f t="shared" si="270"/>
        <v>0</v>
      </c>
      <c r="AI582">
        <f t="shared" si="275"/>
        <v>0</v>
      </c>
    </row>
    <row r="583" spans="1:35" x14ac:dyDescent="0.25">
      <c r="A583" s="335">
        <v>112200</v>
      </c>
      <c r="B583" s="352">
        <f t="shared" si="271"/>
        <v>112.2</v>
      </c>
      <c r="C583" s="325">
        <f t="shared" si="246"/>
        <v>238.98435564836279</v>
      </c>
      <c r="D583" s="326">
        <f t="shared" si="247"/>
        <v>1.566611940266855</v>
      </c>
      <c r="E583" s="326">
        <f t="shared" si="248"/>
        <v>1.0389985548816636</v>
      </c>
      <c r="F583" s="327">
        <f t="shared" si="249"/>
        <v>0.27485247811509572</v>
      </c>
      <c r="G583" s="326">
        <f t="shared" si="250"/>
        <v>1</v>
      </c>
      <c r="H583" s="327">
        <f t="shared" si="251"/>
        <v>0</v>
      </c>
      <c r="I583" s="325">
        <f t="shared" si="252"/>
        <v>37023.190496911302</v>
      </c>
      <c r="J583" s="328">
        <f t="shared" si="253"/>
        <v>1.5707693166969905</v>
      </c>
      <c r="K583" s="336">
        <f t="shared" si="273"/>
        <v>26.206028099697246</v>
      </c>
      <c r="L583" s="337">
        <f t="shared" si="274"/>
        <v>1.5326279007266503</v>
      </c>
      <c r="M583" s="325">
        <f t="shared" si="254"/>
        <v>1.4259513690950334</v>
      </c>
      <c r="N583" s="337">
        <f t="shared" si="255"/>
        <v>0.79359621313697515</v>
      </c>
      <c r="O583" s="343">
        <f t="shared" si="256"/>
        <v>1.1937704211111353</v>
      </c>
      <c r="P583" s="691">
        <f t="shared" si="257"/>
        <v>0.57777120358529255</v>
      </c>
      <c r="Q583" s="336">
        <f t="shared" si="272"/>
        <v>6.1460403000472956</v>
      </c>
      <c r="R583" s="692">
        <f t="shared" si="258"/>
        <v>0.8324912020068721</v>
      </c>
      <c r="S583" s="329">
        <f t="shared" si="259"/>
        <v>0.95036825910801126</v>
      </c>
      <c r="T583" s="330">
        <f t="shared" si="260"/>
        <v>0.75207183047659176</v>
      </c>
      <c r="U583" s="331">
        <f t="shared" si="261"/>
        <v>-12.778284685391647</v>
      </c>
      <c r="V583" s="332">
        <f t="shared" si="262"/>
        <v>-179.35234398651403</v>
      </c>
      <c r="W583" s="334">
        <f t="shared" si="263"/>
        <v>0.64765601348597102</v>
      </c>
      <c r="Y583" s="307">
        <f t="shared" si="264"/>
        <v>112200</v>
      </c>
      <c r="Z583" s="307">
        <f t="shared" si="265"/>
        <v>12588840000</v>
      </c>
      <c r="AB583" s="333">
        <f t="shared" si="266"/>
        <v>31.623677325027675</v>
      </c>
      <c r="AC583" s="334">
        <f t="shared" si="267"/>
        <v>-47.655055864520406</v>
      </c>
      <c r="AE583" s="333">
        <f t="shared" si="268"/>
        <v>-18.127270388622414</v>
      </c>
      <c r="AF583" s="334">
        <f t="shared" si="269"/>
        <v>-117.10290723818163</v>
      </c>
      <c r="AH583">
        <f t="shared" si="270"/>
        <v>0</v>
      </c>
      <c r="AI583">
        <f t="shared" si="275"/>
        <v>0</v>
      </c>
    </row>
    <row r="584" spans="1:35" x14ac:dyDescent="0.25">
      <c r="A584" s="335">
        <v>113510</v>
      </c>
      <c r="B584" s="352">
        <f t="shared" si="271"/>
        <v>113.51</v>
      </c>
      <c r="C584" s="325">
        <f t="shared" si="246"/>
        <v>241.77458787651935</v>
      </c>
      <c r="D584" s="326">
        <f t="shared" si="247"/>
        <v>1.5666602310207158</v>
      </c>
      <c r="E584" s="326">
        <f t="shared" si="248"/>
        <v>1.0398969536623965</v>
      </c>
      <c r="F584" s="327">
        <f t="shared" si="249"/>
        <v>0.27789971753260728</v>
      </c>
      <c r="G584" s="326">
        <f t="shared" si="250"/>
        <v>1</v>
      </c>
      <c r="H584" s="327">
        <f t="shared" si="251"/>
        <v>0</v>
      </c>
      <c r="I584" s="325">
        <f t="shared" si="252"/>
        <v>37455.457694021599</v>
      </c>
      <c r="J584" s="328">
        <f t="shared" si="253"/>
        <v>1.5707696284160304</v>
      </c>
      <c r="K584" s="336">
        <f t="shared" si="273"/>
        <v>26.511555696410554</v>
      </c>
      <c r="L584" s="337">
        <f t="shared" si="274"/>
        <v>1.5330679758473056</v>
      </c>
      <c r="M584" s="325">
        <f t="shared" si="254"/>
        <v>1.4344364029403185</v>
      </c>
      <c r="N584" s="337">
        <f t="shared" si="255"/>
        <v>0.79939872340587959</v>
      </c>
      <c r="O584" s="343">
        <f t="shared" si="256"/>
        <v>1.1979449315451685</v>
      </c>
      <c r="P584" s="691">
        <f t="shared" si="257"/>
        <v>0.58309427326594065</v>
      </c>
      <c r="Q584" s="336">
        <f t="shared" si="272"/>
        <v>6.1850819359657017</v>
      </c>
      <c r="R584" s="692">
        <f t="shared" si="258"/>
        <v>0.83832281470970849</v>
      </c>
      <c r="S584" s="329">
        <f t="shared" si="259"/>
        <v>0.95035610171230489</v>
      </c>
      <c r="T584" s="330">
        <f t="shared" si="260"/>
        <v>0.7630628611406256</v>
      </c>
      <c r="U584" s="331">
        <f t="shared" si="261"/>
        <v>-12.947846973650922</v>
      </c>
      <c r="V584" s="332">
        <f t="shared" si="262"/>
        <v>-180.14665668653097</v>
      </c>
      <c r="W584" s="334">
        <f t="shared" si="263"/>
        <v>-0.14665668653097441</v>
      </c>
      <c r="Y584" s="307">
        <f t="shared" si="264"/>
        <v>113510</v>
      </c>
      <c r="Z584" s="307">
        <f t="shared" si="265"/>
        <v>12884520100</v>
      </c>
      <c r="AB584" s="333">
        <f t="shared" si="266"/>
        <v>31.572000526791129</v>
      </c>
      <c r="AC584" s="334">
        <f t="shared" si="267"/>
        <v>-47.962318626964176</v>
      </c>
      <c r="AE584" s="333">
        <f t="shared" si="268"/>
        <v>-18.220475616450006</v>
      </c>
      <c r="AF584" s="334">
        <f t="shared" si="269"/>
        <v>-117.56081980684927</v>
      </c>
      <c r="AH584">
        <f t="shared" si="270"/>
        <v>0</v>
      </c>
      <c r="AI584">
        <f t="shared" si="275"/>
        <v>0</v>
      </c>
    </row>
    <row r="585" spans="1:35" x14ac:dyDescent="0.25">
      <c r="A585" s="335">
        <v>114820</v>
      </c>
      <c r="B585" s="352">
        <f t="shared" si="271"/>
        <v>114.82</v>
      </c>
      <c r="C585" s="325">
        <f t="shared" si="246"/>
        <v>244.56482065562835</v>
      </c>
      <c r="D585" s="326">
        <f t="shared" si="247"/>
        <v>1.5667074198791298</v>
      </c>
      <c r="E585" s="326">
        <f t="shared" si="248"/>
        <v>1.0408049918589046</v>
      </c>
      <c r="F585" s="327">
        <f t="shared" si="249"/>
        <v>0.28094166809870164</v>
      </c>
      <c r="G585" s="326">
        <f t="shared" si="250"/>
        <v>1</v>
      </c>
      <c r="H585" s="327">
        <f t="shared" si="251"/>
        <v>0</v>
      </c>
      <c r="I585" s="325">
        <f t="shared" si="252"/>
        <v>37887.72489113544</v>
      </c>
      <c r="J585" s="328">
        <f t="shared" si="253"/>
        <v>1.5707699330221645</v>
      </c>
      <c r="K585" s="336">
        <f t="shared" si="273"/>
        <v>26.817088310520802</v>
      </c>
      <c r="L585" s="337">
        <f t="shared" si="274"/>
        <v>1.5334980233165743</v>
      </c>
      <c r="M585" s="325">
        <f t="shared" si="254"/>
        <v>1.4429691640740767</v>
      </c>
      <c r="N585" s="337">
        <f t="shared" si="255"/>
        <v>0.80513280045992774</v>
      </c>
      <c r="O585" s="343">
        <f t="shared" si="256"/>
        <v>1.2021531495329281</v>
      </c>
      <c r="P585" s="691">
        <f t="shared" si="257"/>
        <v>0.58838022432773263</v>
      </c>
      <c r="Q585" s="336">
        <f t="shared" si="272"/>
        <v>6.2243276351078363</v>
      </c>
      <c r="R585" s="692">
        <f t="shared" si="258"/>
        <v>0.84408173211900195</v>
      </c>
      <c r="S585" s="329">
        <f t="shared" si="259"/>
        <v>0.9503990949865827</v>
      </c>
      <c r="T585" s="330">
        <f t="shared" si="260"/>
        <v>0.77411420192926539</v>
      </c>
      <c r="U585" s="331">
        <f t="shared" si="261"/>
        <v>-13.116461492442076</v>
      </c>
      <c r="V585" s="332">
        <f t="shared" si="262"/>
        <v>-180.93927960391892</v>
      </c>
      <c r="W585" s="334">
        <f t="shared" si="263"/>
        <v>-0.93927960391891929</v>
      </c>
      <c r="Y585" s="307">
        <f t="shared" si="264"/>
        <v>114820</v>
      </c>
      <c r="Z585" s="307">
        <f t="shared" si="265"/>
        <v>13183632400</v>
      </c>
      <c r="AB585" s="333">
        <f t="shared" si="266"/>
        <v>31.520345290785553</v>
      </c>
      <c r="AC585" s="334">
        <f t="shared" si="267"/>
        <v>-48.266234589577756</v>
      </c>
      <c r="AE585" s="333">
        <f t="shared" si="268"/>
        <v>-18.312954030249401</v>
      </c>
      <c r="AF585" s="334">
        <f t="shared" si="269"/>
        <v>-118.0224277860291</v>
      </c>
      <c r="AH585">
        <f t="shared" si="270"/>
        <v>0</v>
      </c>
      <c r="AI585">
        <f t="shared" si="275"/>
        <v>0</v>
      </c>
    </row>
    <row r="586" spans="1:35" x14ac:dyDescent="0.25">
      <c r="A586" s="335">
        <v>116155</v>
      </c>
      <c r="B586" s="352">
        <f t="shared" si="271"/>
        <v>116.155</v>
      </c>
      <c r="C586" s="325">
        <f t="shared" si="246"/>
        <v>247.40830269942057</v>
      </c>
      <c r="D586" s="326">
        <f t="shared" si="247"/>
        <v>1.5667544142481582</v>
      </c>
      <c r="E586" s="326">
        <f t="shared" si="248"/>
        <v>1.041740250038022</v>
      </c>
      <c r="F586" s="327">
        <f t="shared" si="249"/>
        <v>0.28403618605494085</v>
      </c>
      <c r="G586" s="326">
        <f t="shared" si="250"/>
        <v>1</v>
      </c>
      <c r="H586" s="327">
        <f t="shared" si="251"/>
        <v>0</v>
      </c>
      <c r="I586" s="325">
        <f t="shared" si="252"/>
        <v>38328.241462243546</v>
      </c>
      <c r="J586" s="328">
        <f t="shared" si="253"/>
        <v>1.570770236372744</v>
      </c>
      <c r="K586" s="336">
        <f t="shared" si="273"/>
        <v>27.128456686130317</v>
      </c>
      <c r="L586" s="337">
        <f t="shared" si="274"/>
        <v>1.533926311893449</v>
      </c>
      <c r="M586" s="325">
        <f t="shared" si="254"/>
        <v>1.4517129950215677</v>
      </c>
      <c r="N586" s="337">
        <f t="shared" si="255"/>
        <v>0.81090676432540321</v>
      </c>
      <c r="O586" s="343">
        <f t="shared" si="256"/>
        <v>1.2064759904252396</v>
      </c>
      <c r="P586" s="691">
        <f t="shared" si="257"/>
        <v>0.59372896235288053</v>
      </c>
      <c r="Q586" s="336">
        <f t="shared" si="272"/>
        <v>6.2645282702579417</v>
      </c>
      <c r="R586" s="692">
        <f t="shared" si="258"/>
        <v>0.8498767963248911</v>
      </c>
      <c r="S586" s="329">
        <f t="shared" si="259"/>
        <v>0.95050162226263413</v>
      </c>
      <c r="T586" s="330">
        <f t="shared" si="260"/>
        <v>0.78543785596838467</v>
      </c>
      <c r="U586" s="331">
        <f t="shared" si="261"/>
        <v>-13.287355742421569</v>
      </c>
      <c r="V586" s="332">
        <f t="shared" si="262"/>
        <v>-181.74534157026881</v>
      </c>
      <c r="W586" s="334">
        <f t="shared" si="263"/>
        <v>-1.7453415702688062</v>
      </c>
      <c r="Y586" s="307">
        <f t="shared" si="264"/>
        <v>116155</v>
      </c>
      <c r="Z586" s="307">
        <f t="shared" si="265"/>
        <v>13491984025</v>
      </c>
      <c r="AB586" s="333">
        <f t="shared" si="266"/>
        <v>31.467732991626754</v>
      </c>
      <c r="AC586" s="334">
        <f t="shared" si="267"/>
        <v>-48.572536603319861</v>
      </c>
      <c r="AE586" s="333">
        <f t="shared" si="268"/>
        <v>-18.406495111028491</v>
      </c>
      <c r="AF586" s="334">
        <f t="shared" si="269"/>
        <v>-118.496615132165</v>
      </c>
      <c r="AH586">
        <f t="shared" si="270"/>
        <v>0</v>
      </c>
      <c r="AI586">
        <f t="shared" si="275"/>
        <v>0</v>
      </c>
    </row>
    <row r="587" spans="1:35" x14ac:dyDescent="0.25">
      <c r="A587" s="335">
        <v>117490</v>
      </c>
      <c r="B587" s="352">
        <f t="shared" si="271"/>
        <v>117.49</v>
      </c>
      <c r="C587" s="325">
        <f t="shared" si="246"/>
        <v>250.25178527718995</v>
      </c>
      <c r="D587" s="326">
        <f t="shared" si="247"/>
        <v>1.5668003406715016</v>
      </c>
      <c r="E587" s="326">
        <f t="shared" si="248"/>
        <v>1.0426854660133111</v>
      </c>
      <c r="F587" s="327">
        <f t="shared" si="249"/>
        <v>0.28712512305723809</v>
      </c>
      <c r="G587" s="326">
        <f t="shared" si="250"/>
        <v>1</v>
      </c>
      <c r="H587" s="327">
        <f t="shared" si="251"/>
        <v>0</v>
      </c>
      <c r="I587" s="325">
        <f t="shared" si="252"/>
        <v>38768.758033355101</v>
      </c>
      <c r="J587" s="328">
        <f t="shared" si="253"/>
        <v>1.5707705328295791</v>
      </c>
      <c r="K587" s="336">
        <f t="shared" si="273"/>
        <v>27.439829925009018</v>
      </c>
      <c r="L587" s="337">
        <f t="shared" si="274"/>
        <v>1.5343448805436217</v>
      </c>
      <c r="M587" s="325">
        <f t="shared" si="254"/>
        <v>1.4605046436928435</v>
      </c>
      <c r="N587" s="337">
        <f t="shared" si="255"/>
        <v>0.81661140261144805</v>
      </c>
      <c r="O587" s="343">
        <f t="shared" si="256"/>
        <v>1.2108331003594295</v>
      </c>
      <c r="P587" s="691">
        <f t="shared" si="257"/>
        <v>0.59903935717364698</v>
      </c>
      <c r="Q587" s="336">
        <f t="shared" si="272"/>
        <v>6.3049328734372239</v>
      </c>
      <c r="R587" s="692">
        <f t="shared" si="258"/>
        <v>0.85559844973110066</v>
      </c>
      <c r="S587" s="329">
        <f t="shared" si="259"/>
        <v>0.95066543510783919</v>
      </c>
      <c r="T587" s="330">
        <f t="shared" si="260"/>
        <v>0.79682278221189839</v>
      </c>
      <c r="U587" s="331">
        <f t="shared" si="261"/>
        <v>-13.457340102500989</v>
      </c>
      <c r="V587" s="332">
        <f t="shared" si="262"/>
        <v>-182.54974797912891</v>
      </c>
      <c r="W587" s="334">
        <f t="shared" si="263"/>
        <v>-2.5497479791289095</v>
      </c>
      <c r="Y587" s="307">
        <f t="shared" si="264"/>
        <v>117490</v>
      </c>
      <c r="Z587" s="307">
        <f t="shared" si="265"/>
        <v>13803900100</v>
      </c>
      <c r="AB587" s="333">
        <f t="shared" si="266"/>
        <v>31.415156092288772</v>
      </c>
      <c r="AC587" s="334">
        <f t="shared" si="267"/>
        <v>-48.875423069739156</v>
      </c>
      <c r="AE587" s="333">
        <f t="shared" si="268"/>
        <v>-18.499372719162643</v>
      </c>
      <c r="AF587" s="334">
        <f t="shared" si="269"/>
        <v>-118.97457169334447</v>
      </c>
      <c r="AH587">
        <f t="shared" si="270"/>
        <v>0</v>
      </c>
      <c r="AI587">
        <f t="shared" si="275"/>
        <v>0</v>
      </c>
    </row>
    <row r="588" spans="1:35" x14ac:dyDescent="0.25">
      <c r="A588" s="335">
        <v>118860</v>
      </c>
      <c r="B588" s="352">
        <f t="shared" si="271"/>
        <v>118.86</v>
      </c>
      <c r="C588" s="325">
        <f t="shared" si="246"/>
        <v>253.16981662362585</v>
      </c>
      <c r="D588" s="326">
        <f t="shared" si="247"/>
        <v>1.5668463985859842</v>
      </c>
      <c r="E588" s="326">
        <f t="shared" si="248"/>
        <v>1.0436657873724207</v>
      </c>
      <c r="F588" s="327">
        <f t="shared" si="249"/>
        <v>0.29028919525041447</v>
      </c>
      <c r="G588" s="326">
        <f t="shared" si="250"/>
        <v>1</v>
      </c>
      <c r="H588" s="327">
        <f t="shared" si="251"/>
        <v>0</v>
      </c>
      <c r="I588" s="325">
        <f t="shared" si="252"/>
        <v>39220.823728057308</v>
      </c>
      <c r="J588" s="328">
        <f t="shared" si="253"/>
        <v>1.5707708301350853</v>
      </c>
      <c r="K588" s="336">
        <f t="shared" si="273"/>
        <v>27.75937139179095</v>
      </c>
      <c r="L588" s="337">
        <f t="shared" si="274"/>
        <v>1.5347646602694807</v>
      </c>
      <c r="M588" s="325">
        <f t="shared" si="254"/>
        <v>1.46957559958192</v>
      </c>
      <c r="N588" s="337">
        <f t="shared" si="255"/>
        <v>0.82239444413903606</v>
      </c>
      <c r="O588" s="343">
        <f t="shared" si="256"/>
        <v>1.2153396835551131</v>
      </c>
      <c r="P588" s="691">
        <f t="shared" si="257"/>
        <v>0.60444923173122311</v>
      </c>
      <c r="Q588" s="336">
        <f t="shared" si="272"/>
        <v>6.3466047484212336</v>
      </c>
      <c r="R588" s="692">
        <f t="shared" si="258"/>
        <v>0.86139487811962867</v>
      </c>
      <c r="S588" s="329">
        <f t="shared" si="259"/>
        <v>0.95089939936095158</v>
      </c>
      <c r="T588" s="330">
        <f t="shared" si="260"/>
        <v>0.80856905876716323</v>
      </c>
      <c r="U588" s="331">
        <f t="shared" si="261"/>
        <v>-13.630873626394646</v>
      </c>
      <c r="V588" s="332">
        <f t="shared" si="262"/>
        <v>-183.37356819613134</v>
      </c>
      <c r="W588" s="334">
        <f t="shared" si="263"/>
        <v>-3.3735681961313446</v>
      </c>
      <c r="Y588" s="307">
        <f t="shared" si="264"/>
        <v>118860</v>
      </c>
      <c r="Z588" s="307">
        <f t="shared" si="265"/>
        <v>14127699600</v>
      </c>
      <c r="AB588" s="333">
        <f t="shared" si="266"/>
        <v>31.361244085977482</v>
      </c>
      <c r="AC588" s="334">
        <f t="shared" si="267"/>
        <v>-49.182732370103842</v>
      </c>
      <c r="AE588" s="333">
        <f t="shared" si="268"/>
        <v>-18.594042415808026</v>
      </c>
      <c r="AF588" s="334">
        <f t="shared" si="269"/>
        <v>-119.46893470688885</v>
      </c>
      <c r="AH588">
        <f t="shared" si="270"/>
        <v>0</v>
      </c>
      <c r="AI588">
        <f t="shared" si="275"/>
        <v>0</v>
      </c>
    </row>
    <row r="589" spans="1:35" x14ac:dyDescent="0.25">
      <c r="A589" s="335">
        <v>120230</v>
      </c>
      <c r="B589" s="352">
        <f t="shared" si="271"/>
        <v>120.23</v>
      </c>
      <c r="C589" s="325">
        <f t="shared" ref="C589:C613" si="276">SQRT(1+(A589/pole1)^2)</f>
        <v>256.08784849487967</v>
      </c>
      <c r="D589" s="326">
        <f t="shared" ref="D589:D613" si="277">ATAN(A589/pole1)</f>
        <v>1.5668914068727613</v>
      </c>
      <c r="E589" s="326">
        <f t="shared" ref="E589:E613" si="278">SQRT(1+(A589/Zero1)^2)</f>
        <v>1.0446565375669556</v>
      </c>
      <c r="F589" s="327">
        <f t="shared" ref="F589:F613" si="279">ATAN(A589/Zero1)</f>
        <v>0.29344729741112296</v>
      </c>
      <c r="G589" s="326">
        <f t="shared" ref="G589:G613" si="280">IF(VIN_nom&gt;Vout, 1, SQRT(1+(A589/z_RHP)^2))</f>
        <v>1</v>
      </c>
      <c r="H589" s="327">
        <f t="shared" ref="H589:H613" si="281">IF(VIN_nom&gt;Vout, 0, -ATAN(A589/z_RHP))</f>
        <v>0</v>
      </c>
      <c r="I589" s="325">
        <f t="shared" ref="I589:I613" si="282">SQRT(1+(A589/Pole2)^2)</f>
        <v>39672.889422762906</v>
      </c>
      <c r="J589" s="328">
        <f t="shared" ref="J589:J613" si="283">ATAN(A589/Pole2)</f>
        <v>1.5707711206651023</v>
      </c>
      <c r="K589" s="336">
        <f t="shared" si="273"/>
        <v>28.078917638856119</v>
      </c>
      <c r="L589" s="337">
        <f t="shared" si="274"/>
        <v>1.5351748856355887</v>
      </c>
      <c r="M589" s="325">
        <f t="shared" ref="M589:M613" si="284">SQRT(1+(A589/pole4)^2)</f>
        <v>1.4786950993840617</v>
      </c>
      <c r="N589" s="337">
        <f t="shared" ref="N589:N613" si="285">ATAN(A589/pole4)</f>
        <v>0.82810634367671165</v>
      </c>
      <c r="O589" s="343">
        <f t="shared" ref="O589:O613" si="286">IF(VOUT_setting=1,1,SQRT(1+(A589*zterm1)^2))</f>
        <v>1.2198815723761207</v>
      </c>
      <c r="P589" s="691">
        <f t="shared" ref="P589:P613" si="287">IF(VOUT_setting=1,0,ATAN(((A589*zterm1))))</f>
        <v>0.60981897815512776</v>
      </c>
      <c r="Q589" s="336">
        <f t="shared" si="272"/>
        <v>6.3884832033962011</v>
      </c>
      <c r="R589" s="692">
        <f t="shared" ref="R589:R613" si="288">IF(VOUT_setting=1,0,ATAN(A589*$Q$4/(1+Afbr-$Q$5*(A589)^2)))</f>
        <v>0.86711620895722696</v>
      </c>
      <c r="S589" s="329">
        <f t="shared" ref="S589:S613" si="289">SQRT((1-(Z589/pterm2))^2+(A589/pterm1)^2)</f>
        <v>0.95120226895982274</v>
      </c>
      <c r="T589" s="330">
        <f t="shared" ref="T589:T613" si="290">IF((ATAN((A589/pterm1)/(1-A589^2/pterm2))&gt;0),ATAN((A589/pterm1)/(1-A589^2/pterm2)),PI()+ATAN((A589/pterm1)/(1-A589^2/pterm2)))</f>
        <v>0.8203780865557796</v>
      </c>
      <c r="U589" s="331">
        <f t="shared" ref="U589:U613" si="291">20*LOG10(((E589*K589*G589*O589)/(C589*I589*S589*M589*Q589))*Adc)</f>
        <v>-13.803527006227032</v>
      </c>
      <c r="V589" s="332">
        <f t="shared" ref="V589:V613" si="292">((F589+L589+H589+P589)-(D589+J589+T589+N589+R589))*radconv</f>
        <v>-184.19573301288236</v>
      </c>
      <c r="W589" s="334">
        <f t="shared" ref="W589:W613" si="293">IF(V589&gt;0,V589,V589+180)</f>
        <v>-4.1957330128823571</v>
      </c>
      <c r="Y589" s="307">
        <f t="shared" ref="Y589:Y613" si="294">IF(U589&lt;0,A589,1000000000)</f>
        <v>120230</v>
      </c>
      <c r="Z589" s="307">
        <f t="shared" ref="Z589:Z613" si="295">A589^2</f>
        <v>14455252900</v>
      </c>
      <c r="AB589" s="333">
        <f t="shared" ref="AB589:AB613" si="296">20*LOG10((K589/(I589*M589))*AEA)</f>
        <v>31.307382353103527</v>
      </c>
      <c r="AC589" s="334">
        <f t="shared" ref="AC589:AC613" si="297">(L589-(J589+N589))*radconv</f>
        <v>-49.486512570979102</v>
      </c>
      <c r="AE589" s="333">
        <f t="shared" ref="AE589:AE613" si="298">20*LOG10((E589*G589/(C589*S589))*Acs*Am)</f>
        <v>-18.688107804527586</v>
      </c>
      <c r="AF589" s="334">
        <f t="shared" ref="AF589:AF613" si="299">(F589+H589-(D589+T589))*radconv</f>
        <v>-119.9671750196943</v>
      </c>
      <c r="AH589">
        <f t="shared" ref="AH589:AH613" si="300">SUM((U590&lt;0)*(U589&gt;0))*A589</f>
        <v>0</v>
      </c>
      <c r="AI589">
        <f t="shared" si="275"/>
        <v>0</v>
      </c>
    </row>
    <row r="590" spans="1:35" x14ac:dyDescent="0.25">
      <c r="A590" s="335">
        <v>126030</v>
      </c>
      <c r="B590" s="352">
        <f t="shared" ref="B590:B613" si="301">A590/1000</f>
        <v>126.03</v>
      </c>
      <c r="C590" s="325">
        <f t="shared" si="276"/>
        <v>268.44156548677137</v>
      </c>
      <c r="D590" s="326">
        <f t="shared" si="277"/>
        <v>1.5670711126647359</v>
      </c>
      <c r="E590" s="326">
        <f t="shared" si="278"/>
        <v>1.0489658029752091</v>
      </c>
      <c r="F590" s="327">
        <f t="shared" si="279"/>
        <v>0.30675018145500621</v>
      </c>
      <c r="G590" s="326">
        <f t="shared" si="280"/>
        <v>1</v>
      </c>
      <c r="H590" s="327">
        <f t="shared" si="281"/>
        <v>0</v>
      </c>
      <c r="I590" s="325">
        <f t="shared" si="282"/>
        <v>41586.74418870479</v>
      </c>
      <c r="J590" s="328">
        <f t="shared" si="283"/>
        <v>1.5707722806710751</v>
      </c>
      <c r="K590" s="336">
        <f t="shared" si="273"/>
        <v>29.431790540167249</v>
      </c>
      <c r="L590" s="337">
        <f t="shared" si="274"/>
        <v>1.5368129202051526</v>
      </c>
      <c r="M590" s="325">
        <f t="shared" si="284"/>
        <v>1.517820760001404</v>
      </c>
      <c r="N590" s="337">
        <f t="shared" si="285"/>
        <v>0.85152148346304268</v>
      </c>
      <c r="O590" s="343">
        <f t="shared" si="286"/>
        <v>1.2394921455286623</v>
      </c>
      <c r="P590" s="691">
        <f t="shared" si="287"/>
        <v>0.63211097568950991</v>
      </c>
      <c r="Q590" s="336">
        <f t="shared" si="272"/>
        <v>6.5679761314879448</v>
      </c>
      <c r="R590" s="692">
        <f t="shared" si="288"/>
        <v>0.89053122360499626</v>
      </c>
      <c r="S590" s="329">
        <f t="shared" si="289"/>
        <v>0.9532991654067462</v>
      </c>
      <c r="T590" s="330">
        <f t="shared" si="290"/>
        <v>0.87104264690250877</v>
      </c>
      <c r="U590" s="331">
        <f t="shared" si="291"/>
        <v>-14.52559993602244</v>
      </c>
      <c r="V590" s="332">
        <f t="shared" si="292"/>
        <v>-187.65884259125835</v>
      </c>
      <c r="W590" s="334">
        <f t="shared" si="293"/>
        <v>-7.6588425912583489</v>
      </c>
      <c r="Y590" s="307">
        <f t="shared" si="294"/>
        <v>126030</v>
      </c>
      <c r="Z590" s="307">
        <f t="shared" si="295"/>
        <v>15883560900</v>
      </c>
      <c r="AB590" s="333">
        <f t="shared" si="296"/>
        <v>31.080049891018867</v>
      </c>
      <c r="AC590" s="334">
        <f t="shared" si="297"/>
        <v>-50.734315254784441</v>
      </c>
      <c r="AE590" s="333">
        <f t="shared" si="298"/>
        <v>-19.080694264466459</v>
      </c>
      <c r="AF590" s="334">
        <f t="shared" si="299"/>
        <v>-122.11813777327333</v>
      </c>
      <c r="AH590">
        <f t="shared" si="300"/>
        <v>0</v>
      </c>
      <c r="AI590">
        <f t="shared" si="275"/>
        <v>0</v>
      </c>
    </row>
    <row r="591" spans="1:35" x14ac:dyDescent="0.25">
      <c r="A591" s="335">
        <v>131830</v>
      </c>
      <c r="B591" s="352">
        <f t="shared" si="301"/>
        <v>131.83000000000001</v>
      </c>
      <c r="C591" s="325">
        <f t="shared" si="276"/>
        <v>280.795290384959</v>
      </c>
      <c r="D591" s="326">
        <f t="shared" si="277"/>
        <v>1.5672350059747842</v>
      </c>
      <c r="E591" s="326">
        <f t="shared" si="278"/>
        <v>1.0534591626685519</v>
      </c>
      <c r="F591" s="327">
        <f t="shared" si="279"/>
        <v>0.31994190113019561</v>
      </c>
      <c r="G591" s="326">
        <f t="shared" si="280"/>
        <v>1</v>
      </c>
      <c r="H591" s="327">
        <f t="shared" si="281"/>
        <v>0</v>
      </c>
      <c r="I591" s="325">
        <f t="shared" si="282"/>
        <v>43500.598954697714</v>
      </c>
      <c r="J591" s="328">
        <f t="shared" si="283"/>
        <v>1.5707733386056735</v>
      </c>
      <c r="K591" s="336">
        <f t="shared" si="273"/>
        <v>30.78473547060651</v>
      </c>
      <c r="L591" s="337">
        <f t="shared" si="274"/>
        <v>1.5383069799593936</v>
      </c>
      <c r="M591" s="325">
        <f t="shared" si="284"/>
        <v>1.5577365331300539</v>
      </c>
      <c r="N591" s="337">
        <f t="shared" si="285"/>
        <v>0.87374830983933849</v>
      </c>
      <c r="O591" s="343">
        <f t="shared" si="286"/>
        <v>1.2596993106450489</v>
      </c>
      <c r="P591" s="691">
        <f t="shared" si="287"/>
        <v>0.65369823593238052</v>
      </c>
      <c r="Q591" s="336">
        <f t="shared" ref="Q591:Q613" si="302">IF(VOUT_setting=1,1,SQRT((1+Afbr-$Q$5*(A591)^2)^2+(A591*$Q$4)^2))</f>
        <v>6.7508118559802126</v>
      </c>
      <c r="R591" s="692">
        <f t="shared" si="288"/>
        <v>0.91270165025449501</v>
      </c>
      <c r="S591" s="329">
        <f t="shared" si="289"/>
        <v>0.95684072042204937</v>
      </c>
      <c r="T591" s="330">
        <f t="shared" si="290"/>
        <v>0.9227174798640172</v>
      </c>
      <c r="U591" s="331">
        <f t="shared" si="291"/>
        <v>-15.235410632889849</v>
      </c>
      <c r="V591" s="332">
        <f t="shared" si="292"/>
        <v>-191.09452657808481</v>
      </c>
      <c r="W591" s="334">
        <f t="shared" si="293"/>
        <v>-11.09452657808481</v>
      </c>
      <c r="Y591" s="307">
        <f t="shared" si="294"/>
        <v>131830</v>
      </c>
      <c r="Z591" s="307">
        <f t="shared" si="295"/>
        <v>17379148900</v>
      </c>
      <c r="AB591" s="333">
        <f t="shared" si="296"/>
        <v>30.854148079792246</v>
      </c>
      <c r="AC591" s="334">
        <f t="shared" si="297"/>
        <v>-51.922275896402823</v>
      </c>
      <c r="AE591" s="333">
        <f t="shared" si="298"/>
        <v>-19.46657663120067</v>
      </c>
      <c r="AF591" s="334">
        <f t="shared" si="299"/>
        <v>-124.33244814458963</v>
      </c>
      <c r="AH591">
        <f t="shared" si="300"/>
        <v>0</v>
      </c>
      <c r="AI591">
        <f t="shared" si="275"/>
        <v>0</v>
      </c>
    </row>
    <row r="592" spans="1:35" x14ac:dyDescent="0.25">
      <c r="A592" s="335">
        <v>144540</v>
      </c>
      <c r="B592" s="352">
        <f t="shared" si="301"/>
        <v>144.54</v>
      </c>
      <c r="C592" s="325">
        <f t="shared" si="276"/>
        <v>307.86701052920552</v>
      </c>
      <c r="D592" s="326">
        <f t="shared" si="277"/>
        <v>1.5675481653348275</v>
      </c>
      <c r="E592" s="326">
        <f t="shared" si="278"/>
        <v>1.0639380178165623</v>
      </c>
      <c r="F592" s="327">
        <f t="shared" si="279"/>
        <v>0.34844618857667631</v>
      </c>
      <c r="G592" s="326">
        <f t="shared" si="280"/>
        <v>1</v>
      </c>
      <c r="H592" s="327">
        <f t="shared" si="281"/>
        <v>0</v>
      </c>
      <c r="I592" s="325">
        <f t="shared" si="282"/>
        <v>47694.580692047901</v>
      </c>
      <c r="J592" s="328">
        <f t="shared" si="283"/>
        <v>1.5707753600522276</v>
      </c>
      <c r="K592" s="336">
        <f t="shared" si="273"/>
        <v>33.749760547729373</v>
      </c>
      <c r="L592" s="337">
        <f t="shared" si="274"/>
        <v>1.5411621497565895</v>
      </c>
      <c r="M592" s="325">
        <f t="shared" si="284"/>
        <v>1.6476878061847031</v>
      </c>
      <c r="N592" s="337">
        <f t="shared" si="285"/>
        <v>0.91862807927612466</v>
      </c>
      <c r="O592" s="343">
        <f t="shared" si="286"/>
        <v>1.3059305350734873</v>
      </c>
      <c r="P592" s="691">
        <f t="shared" si="287"/>
        <v>0.69860906362239361</v>
      </c>
      <c r="Q592" s="336">
        <f t="shared" si="302"/>
        <v>7.1619063353521648</v>
      </c>
      <c r="R592" s="692">
        <f t="shared" si="288"/>
        <v>0.95730901578766403</v>
      </c>
      <c r="S592" s="329">
        <f t="shared" si="289"/>
        <v>0.97047663856404276</v>
      </c>
      <c r="T592" s="330">
        <f t="shared" si="290"/>
        <v>1.0388610790219439</v>
      </c>
      <c r="U592" s="331">
        <f t="shared" si="291"/>
        <v>-16.760591566760215</v>
      </c>
      <c r="V592" s="332">
        <f t="shared" si="292"/>
        <v>-198.52439289131999</v>
      </c>
      <c r="W592" s="334">
        <f t="shared" si="293"/>
        <v>-18.524392891319991</v>
      </c>
      <c r="Y592" s="307">
        <f t="shared" si="294"/>
        <v>144540</v>
      </c>
      <c r="Z592" s="307">
        <f t="shared" si="295"/>
        <v>20891811600</v>
      </c>
      <c r="AB592" s="333">
        <f t="shared" si="296"/>
        <v>30.365759063942139</v>
      </c>
      <c r="AC592" s="334">
        <f t="shared" si="297"/>
        <v>-54.330223914585893</v>
      </c>
      <c r="AE592" s="333">
        <f t="shared" si="298"/>
        <v>-20.302979597542166</v>
      </c>
      <c r="AF592" s="334">
        <f t="shared" si="299"/>
        <v>-129.37175354049072</v>
      </c>
      <c r="AH592">
        <f t="shared" si="300"/>
        <v>0</v>
      </c>
      <c r="AI592">
        <f t="shared" si="275"/>
        <v>0</v>
      </c>
    </row>
    <row r="593" spans="1:35" x14ac:dyDescent="0.25">
      <c r="A593" s="335">
        <v>158490</v>
      </c>
      <c r="B593" s="352">
        <f t="shared" si="301"/>
        <v>158.49</v>
      </c>
      <c r="C593" s="325">
        <f t="shared" si="276"/>
        <v>337.57990301031936</v>
      </c>
      <c r="D593" s="326">
        <f t="shared" si="277"/>
        <v>1.5678340608140506</v>
      </c>
      <c r="E593" s="326">
        <f t="shared" si="278"/>
        <v>1.0764134173640778</v>
      </c>
      <c r="F593" s="327">
        <f t="shared" si="279"/>
        <v>0.37906487092882779</v>
      </c>
      <c r="G593" s="326">
        <f t="shared" si="280"/>
        <v>1</v>
      </c>
      <c r="H593" s="327">
        <f t="shared" si="281"/>
        <v>0</v>
      </c>
      <c r="I593" s="325">
        <f t="shared" si="282"/>
        <v>52297.731379570068</v>
      </c>
      <c r="J593" s="328">
        <f t="shared" si="283"/>
        <v>1.5707772055065792</v>
      </c>
      <c r="K593" s="336">
        <f t="shared" si="273"/>
        <v>37.004319834637791</v>
      </c>
      <c r="L593" s="337">
        <f t="shared" si="274"/>
        <v>1.5437691645763172</v>
      </c>
      <c r="M593" s="325">
        <f t="shared" si="284"/>
        <v>1.7498184258077636</v>
      </c>
      <c r="N593" s="337">
        <f t="shared" si="285"/>
        <v>0.96247849169057931</v>
      </c>
      <c r="O593" s="343">
        <f t="shared" si="286"/>
        <v>1.3594840534865722</v>
      </c>
      <c r="P593" s="691">
        <f t="shared" si="287"/>
        <v>0.74428395261377089</v>
      </c>
      <c r="Q593" s="336">
        <f t="shared" si="302"/>
        <v>7.6273175849309611</v>
      </c>
      <c r="R593" s="692">
        <f t="shared" si="288"/>
        <v>1.0007048702862487</v>
      </c>
      <c r="S593" s="329">
        <f t="shared" si="289"/>
        <v>0.99638342487908715</v>
      </c>
      <c r="T593" s="330">
        <f t="shared" si="290"/>
        <v>1.1691888215357613</v>
      </c>
      <c r="U593" s="331">
        <f t="shared" si="291"/>
        <v>-18.409218726950098</v>
      </c>
      <c r="V593" s="332">
        <f t="shared" si="292"/>
        <v>-206.48628112514029</v>
      </c>
      <c r="W593" s="334">
        <f t="shared" si="293"/>
        <v>-26.486281125140295</v>
      </c>
      <c r="Y593" s="307">
        <f t="shared" si="294"/>
        <v>158490</v>
      </c>
      <c r="Z593" s="307">
        <f t="shared" si="295"/>
        <v>25119080100</v>
      </c>
      <c r="AB593" s="333">
        <f t="shared" si="296"/>
        <v>29.842756211587982</v>
      </c>
      <c r="AC593" s="334">
        <f t="shared" si="297"/>
        <v>-56.693402268989701</v>
      </c>
      <c r="AE593" s="333">
        <f t="shared" si="298"/>
        <v>-21.230820870184676</v>
      </c>
      <c r="AF593" s="334">
        <f t="shared" si="299"/>
        <v>-135.10104247785819</v>
      </c>
      <c r="AH593">
        <f t="shared" si="300"/>
        <v>0</v>
      </c>
      <c r="AI593">
        <f t="shared" si="275"/>
        <v>0</v>
      </c>
    </row>
    <row r="594" spans="1:35" x14ac:dyDescent="0.25">
      <c r="A594" s="335">
        <v>173780</v>
      </c>
      <c r="B594" s="352">
        <f t="shared" si="301"/>
        <v>173.78</v>
      </c>
      <c r="C594" s="325">
        <f t="shared" si="276"/>
        <v>370.14696349727944</v>
      </c>
      <c r="D594" s="326">
        <f t="shared" si="277"/>
        <v>1.5680946938893536</v>
      </c>
      <c r="E594" s="326">
        <f t="shared" si="278"/>
        <v>1.0912178892792042</v>
      </c>
      <c r="F594" s="327">
        <f t="shared" si="279"/>
        <v>0.41178645105943507</v>
      </c>
      <c r="G594" s="326">
        <f t="shared" si="280"/>
        <v>1</v>
      </c>
      <c r="H594" s="327">
        <f t="shared" si="281"/>
        <v>0</v>
      </c>
      <c r="I594" s="325">
        <f t="shared" si="282"/>
        <v>57343.048513232272</v>
      </c>
      <c r="J594" s="328">
        <f t="shared" si="283"/>
        <v>1.5707788878894673</v>
      </c>
      <c r="K594" s="336">
        <f t="shared" si="273"/>
        <v>40.571743776704189</v>
      </c>
      <c r="L594" s="337">
        <f t="shared" si="274"/>
        <v>1.5461461346641541</v>
      </c>
      <c r="M594" s="325">
        <f t="shared" si="284"/>
        <v>1.8651763257210403</v>
      </c>
      <c r="N594" s="337">
        <f t="shared" si="285"/>
        <v>1.0049358813715559</v>
      </c>
      <c r="O594" s="343">
        <f t="shared" si="286"/>
        <v>1.4211781111454627</v>
      </c>
      <c r="P594" s="691">
        <f t="shared" si="287"/>
        <v>0.79028677965398197</v>
      </c>
      <c r="Q594" s="336">
        <f t="shared" si="302"/>
        <v>8.1515823006195856</v>
      </c>
      <c r="R594" s="692">
        <f t="shared" si="288"/>
        <v>1.0425671699555583</v>
      </c>
      <c r="S594" s="329">
        <f t="shared" si="289"/>
        <v>1.0401692719826499</v>
      </c>
      <c r="T594" s="330">
        <f t="shared" si="290"/>
        <v>1.3121898828690652</v>
      </c>
      <c r="U594" s="331">
        <f t="shared" si="291"/>
        <v>-20.211059567518213</v>
      </c>
      <c r="V594" s="332">
        <f t="shared" si="292"/>
        <v>-214.87906368368195</v>
      </c>
      <c r="W594" s="334">
        <f t="shared" si="293"/>
        <v>-34.879063683681949</v>
      </c>
      <c r="Y594" s="307">
        <f t="shared" si="294"/>
        <v>173780</v>
      </c>
      <c r="Z594" s="307">
        <f t="shared" si="295"/>
        <v>30199488400</v>
      </c>
      <c r="AB594" s="333">
        <f t="shared" si="296"/>
        <v>29.287684444594376</v>
      </c>
      <c r="AC594" s="334">
        <f t="shared" si="297"/>
        <v>-58.98993754885327</v>
      </c>
      <c r="AE594" s="333">
        <f t="shared" si="298"/>
        <v>-22.285676030380728</v>
      </c>
      <c r="AF594" s="334">
        <f t="shared" si="299"/>
        <v>-141.43452450011844</v>
      </c>
      <c r="AH594">
        <f t="shared" si="300"/>
        <v>0</v>
      </c>
      <c r="AI594">
        <f t="shared" si="275"/>
        <v>0</v>
      </c>
    </row>
    <row r="595" spans="1:35" x14ac:dyDescent="0.25">
      <c r="A595" s="335">
        <v>190550</v>
      </c>
      <c r="B595" s="352">
        <f t="shared" si="301"/>
        <v>190.55</v>
      </c>
      <c r="C595" s="325">
        <f t="shared" si="276"/>
        <v>405.86638613035598</v>
      </c>
      <c r="D595" s="326">
        <f t="shared" si="277"/>
        <v>1.5683324592612757</v>
      </c>
      <c r="E595" s="326">
        <f t="shared" si="278"/>
        <v>1.1087603025896673</v>
      </c>
      <c r="F595" s="327">
        <f t="shared" si="279"/>
        <v>0.44662913914353713</v>
      </c>
      <c r="G595" s="326">
        <f t="shared" si="280"/>
        <v>1</v>
      </c>
      <c r="H595" s="327">
        <f t="shared" si="281"/>
        <v>0</v>
      </c>
      <c r="I595" s="325">
        <f t="shared" si="282"/>
        <v>62876.728587391124</v>
      </c>
      <c r="J595" s="328">
        <f t="shared" si="283"/>
        <v>1.570780422659575</v>
      </c>
      <c r="K595" s="336">
        <f t="shared" si="273"/>
        <v>44.48469682051882</v>
      </c>
      <c r="L595" s="337">
        <f t="shared" si="274"/>
        <v>1.5483147924019094</v>
      </c>
      <c r="M595" s="325">
        <f t="shared" si="284"/>
        <v>1.9950935473528553</v>
      </c>
      <c r="N595" s="337">
        <f t="shared" si="285"/>
        <v>1.045777114174401</v>
      </c>
      <c r="O595" s="343">
        <f t="shared" si="286"/>
        <v>1.491997834655534</v>
      </c>
      <c r="P595" s="691">
        <f t="shared" si="287"/>
        <v>0.83626115467578432</v>
      </c>
      <c r="Q595" s="336">
        <f t="shared" si="302"/>
        <v>8.7405347452613444</v>
      </c>
      <c r="R595" s="692">
        <f t="shared" si="288"/>
        <v>1.0827175267503295</v>
      </c>
      <c r="S595" s="329">
        <f t="shared" si="289"/>
        <v>1.1088645544669662</v>
      </c>
      <c r="T595" s="330">
        <f t="shared" si="290"/>
        <v>1.4646253739888957</v>
      </c>
      <c r="U595" s="331">
        <f t="shared" si="291"/>
        <v>-22.197042675606006</v>
      </c>
      <c r="V595" s="332">
        <f t="shared" si="292"/>
        <v>-223.51242956669898</v>
      </c>
      <c r="W595" s="334">
        <f t="shared" si="293"/>
        <v>-43.512429566698984</v>
      </c>
      <c r="Y595" s="307">
        <f t="shared" si="294"/>
        <v>190550</v>
      </c>
      <c r="Z595" s="307">
        <f t="shared" si="295"/>
        <v>36309302500</v>
      </c>
      <c r="AB595" s="333">
        <f t="shared" si="296"/>
        <v>28.702373066953331</v>
      </c>
      <c r="AC595" s="334">
        <f t="shared" si="297"/>
        <v>-61.20580082136744</v>
      </c>
      <c r="AE595" s="333">
        <f t="shared" si="298"/>
        <v>-23.502819701841908</v>
      </c>
      <c r="AF595" s="334">
        <f t="shared" si="299"/>
        <v>-148.18571877521873</v>
      </c>
      <c r="AH595">
        <f t="shared" si="300"/>
        <v>0</v>
      </c>
      <c r="AI595">
        <f t="shared" si="275"/>
        <v>0</v>
      </c>
    </row>
    <row r="596" spans="1:35" x14ac:dyDescent="0.25">
      <c r="A596" s="335">
        <v>208930</v>
      </c>
      <c r="B596" s="352">
        <f t="shared" si="301"/>
        <v>208.93</v>
      </c>
      <c r="C596" s="325">
        <f t="shared" si="276"/>
        <v>445.01506565368032</v>
      </c>
      <c r="D596" s="326">
        <f t="shared" si="277"/>
        <v>1.5685492099694907</v>
      </c>
      <c r="E596" s="326">
        <f t="shared" si="278"/>
        <v>1.1294814251067797</v>
      </c>
      <c r="F596" s="327">
        <f t="shared" si="279"/>
        <v>0.48352410722887018</v>
      </c>
      <c r="G596" s="326">
        <f t="shared" si="280"/>
        <v>1</v>
      </c>
      <c r="H596" s="327">
        <f t="shared" si="281"/>
        <v>0</v>
      </c>
      <c r="I596" s="325">
        <f t="shared" si="282"/>
        <v>68941.668346807492</v>
      </c>
      <c r="J596" s="328">
        <f t="shared" si="283"/>
        <v>1.5707818217789316</v>
      </c>
      <c r="K596" s="336">
        <f t="shared" si="273"/>
        <v>48.77351192066002</v>
      </c>
      <c r="L596" s="337">
        <f t="shared" si="274"/>
        <v>1.5502919580181078</v>
      </c>
      <c r="M596" s="325">
        <f t="shared" si="284"/>
        <v>2.1408158182509864</v>
      </c>
      <c r="N596" s="337">
        <f t="shared" si="285"/>
        <v>1.0847750143302202</v>
      </c>
      <c r="O596" s="343">
        <f t="shared" si="286"/>
        <v>1.57289225895781</v>
      </c>
      <c r="P596" s="691">
        <f t="shared" si="287"/>
        <v>0.88178876485254898</v>
      </c>
      <c r="Q596" s="336">
        <f t="shared" si="302"/>
        <v>9.3996249685230318</v>
      </c>
      <c r="R596" s="692">
        <f t="shared" si="288"/>
        <v>1.1209755435872095</v>
      </c>
      <c r="S596" s="329">
        <f t="shared" si="289"/>
        <v>1.2105122293031894</v>
      </c>
      <c r="T596" s="330">
        <f t="shared" si="290"/>
        <v>1.6211671763568702</v>
      </c>
      <c r="U596" s="331">
        <f t="shared" si="291"/>
        <v>-24.383385164910408</v>
      </c>
      <c r="V596" s="332">
        <f t="shared" si="292"/>
        <v>-232.08480210385488</v>
      </c>
      <c r="W596" s="334">
        <f t="shared" si="293"/>
        <v>-52.084802103854884</v>
      </c>
      <c r="Y596" s="307">
        <f t="shared" si="294"/>
        <v>208930</v>
      </c>
      <c r="Z596" s="307">
        <f t="shared" si="295"/>
        <v>43651744900</v>
      </c>
      <c r="AB596" s="333">
        <f t="shared" si="296"/>
        <v>28.089683081259203</v>
      </c>
      <c r="AC596" s="334">
        <f t="shared" si="297"/>
        <v>-63.327012831019907</v>
      </c>
      <c r="AE596" s="333">
        <f t="shared" si="298"/>
        <v>-24.903637396044651</v>
      </c>
      <c r="AF596" s="334">
        <f t="shared" si="299"/>
        <v>-155.05339632034989</v>
      </c>
      <c r="AH596">
        <f t="shared" si="300"/>
        <v>0</v>
      </c>
      <c r="AI596">
        <f t="shared" si="275"/>
        <v>0</v>
      </c>
    </row>
    <row r="597" spans="1:35" x14ac:dyDescent="0.25">
      <c r="A597" s="335">
        <v>229090</v>
      </c>
      <c r="B597" s="352">
        <f t="shared" si="301"/>
        <v>229.09</v>
      </c>
      <c r="C597" s="325">
        <f t="shared" si="276"/>
        <v>487.95509540058447</v>
      </c>
      <c r="D597" s="326">
        <f t="shared" si="277"/>
        <v>1.5687469564544438</v>
      </c>
      <c r="E597" s="326">
        <f t="shared" si="278"/>
        <v>1.1539092035687333</v>
      </c>
      <c r="F597" s="327">
        <f t="shared" si="279"/>
        <v>0.52240973467035967</v>
      </c>
      <c r="G597" s="326">
        <f t="shared" si="280"/>
        <v>1</v>
      </c>
      <c r="H597" s="327">
        <f t="shared" si="281"/>
        <v>0</v>
      </c>
      <c r="I597" s="325">
        <f t="shared" si="282"/>
        <v>75593.963534631563</v>
      </c>
      <c r="J597" s="328">
        <f t="shared" si="283"/>
        <v>1.5707830982254014</v>
      </c>
      <c r="K597" s="336">
        <f t="shared" si="273"/>
        <v>53.477857113864239</v>
      </c>
      <c r="L597" s="337">
        <f t="shared" si="274"/>
        <v>1.5520959087036945</v>
      </c>
      <c r="M597" s="325">
        <f t="shared" si="284"/>
        <v>2.3038945762489131</v>
      </c>
      <c r="N597" s="337">
        <f t="shared" si="285"/>
        <v>1.1218154538054883</v>
      </c>
      <c r="O597" s="343">
        <f t="shared" si="286"/>
        <v>1.6649832749302218</v>
      </c>
      <c r="P597" s="691">
        <f t="shared" si="287"/>
        <v>0.9265367099954146</v>
      </c>
      <c r="Q597" s="336">
        <f t="shared" si="302"/>
        <v>10.135696939499237</v>
      </c>
      <c r="R597" s="692">
        <f t="shared" si="288"/>
        <v>1.1572716434048365</v>
      </c>
      <c r="S597" s="329">
        <f t="shared" si="289"/>
        <v>1.3539730655295772</v>
      </c>
      <c r="T597" s="330">
        <f t="shared" si="290"/>
        <v>1.7757569438160064</v>
      </c>
      <c r="U597" s="331">
        <f t="shared" si="291"/>
        <v>-26.769070960728722</v>
      </c>
      <c r="V597" s="332">
        <f t="shared" si="292"/>
        <v>-240.26021120867063</v>
      </c>
      <c r="W597" s="334">
        <f t="shared" si="293"/>
        <v>-60.260211208670626</v>
      </c>
      <c r="Y597" s="307">
        <f t="shared" si="294"/>
        <v>229090</v>
      </c>
      <c r="Z597" s="307">
        <f t="shared" si="295"/>
        <v>52482228100</v>
      </c>
      <c r="AB597" s="333">
        <f t="shared" si="296"/>
        <v>27.451709947684417</v>
      </c>
      <c r="AC597" s="334">
        <f t="shared" si="297"/>
        <v>-65.345988060831218</v>
      </c>
      <c r="AE597" s="333">
        <f t="shared" si="298"/>
        <v>-26.490706257165535</v>
      </c>
      <c r="AF597" s="334">
        <f t="shared" si="299"/>
        <v>-161.69408526214124</v>
      </c>
      <c r="AH597">
        <f t="shared" si="300"/>
        <v>0</v>
      </c>
      <c r="AI597">
        <f t="shared" si="275"/>
        <v>0</v>
      </c>
    </row>
    <row r="598" spans="1:35" x14ac:dyDescent="0.25">
      <c r="A598" s="335">
        <v>251190</v>
      </c>
      <c r="B598" s="352">
        <f t="shared" si="301"/>
        <v>251.19</v>
      </c>
      <c r="C598" s="325">
        <f t="shared" si="276"/>
        <v>535.02726926095909</v>
      </c>
      <c r="D598" s="326">
        <f t="shared" si="277"/>
        <v>1.568927262095418</v>
      </c>
      <c r="E598" s="326">
        <f t="shared" si="278"/>
        <v>1.1826036805923756</v>
      </c>
      <c r="F598" s="327">
        <f t="shared" si="279"/>
        <v>0.56312349893870728</v>
      </c>
      <c r="G598" s="326">
        <f t="shared" si="280"/>
        <v>1</v>
      </c>
      <c r="H598" s="327">
        <f t="shared" si="281"/>
        <v>0</v>
      </c>
      <c r="I598" s="325">
        <f t="shared" si="282"/>
        <v>82886.410144417532</v>
      </c>
      <c r="J598" s="328">
        <f t="shared" si="283"/>
        <v>1.5707842620909447</v>
      </c>
      <c r="K598" s="336">
        <f t="shared" si="273"/>
        <v>58.635068518107225</v>
      </c>
      <c r="L598" s="337">
        <f t="shared" si="274"/>
        <v>1.5537408596757671</v>
      </c>
      <c r="M598" s="325">
        <f t="shared" si="284"/>
        <v>2.4857958445105584</v>
      </c>
      <c r="N598" s="337">
        <f t="shared" si="285"/>
        <v>1.1567842696097457</v>
      </c>
      <c r="O598" s="343">
        <f t="shared" si="286"/>
        <v>1.769344222639085</v>
      </c>
      <c r="P598" s="691">
        <f t="shared" si="287"/>
        <v>0.97014350685090234</v>
      </c>
      <c r="Q598" s="336">
        <f t="shared" si="302"/>
        <v>10.955219440054572</v>
      </c>
      <c r="R598" s="692">
        <f t="shared" si="288"/>
        <v>1.191534295587068</v>
      </c>
      <c r="S598" s="329">
        <f t="shared" si="289"/>
        <v>1.5483474926434995</v>
      </c>
      <c r="T598" s="330">
        <f t="shared" si="290"/>
        <v>1.9226006257242938</v>
      </c>
      <c r="U598" s="331">
        <f t="shared" si="291"/>
        <v>-29.328421311889826</v>
      </c>
      <c r="V598" s="332">
        <f t="shared" si="292"/>
        <v>-247.72534177388556</v>
      </c>
      <c r="W598" s="334">
        <f t="shared" si="293"/>
        <v>-67.72534177388556</v>
      </c>
      <c r="Y598" s="307">
        <f t="shared" si="294"/>
        <v>251190</v>
      </c>
      <c r="Z598" s="307">
        <f t="shared" si="295"/>
        <v>63096416100</v>
      </c>
      <c r="AB598" s="333">
        <f t="shared" si="296"/>
        <v>26.791397376545159</v>
      </c>
      <c r="AC598" s="334">
        <f t="shared" si="297"/>
        <v>-67.255371559545168</v>
      </c>
      <c r="AE598" s="333">
        <f t="shared" si="298"/>
        <v>-28.242443884593872</v>
      </c>
      <c r="AF598" s="334">
        <f t="shared" si="299"/>
        <v>-167.78521238219116</v>
      </c>
      <c r="AH598">
        <f t="shared" si="300"/>
        <v>0</v>
      </c>
      <c r="AI598">
        <f t="shared" si="275"/>
        <v>0</v>
      </c>
    </row>
    <row r="599" spans="1:35" x14ac:dyDescent="0.25">
      <c r="A599" s="335">
        <v>275420</v>
      </c>
      <c r="B599" s="352">
        <f t="shared" si="301"/>
        <v>275.42</v>
      </c>
      <c r="C599" s="325">
        <f t="shared" si="276"/>
        <v>586.63628012464494</v>
      </c>
      <c r="D599" s="326">
        <f t="shared" si="277"/>
        <v>1.5690916922228852</v>
      </c>
      <c r="E599" s="326">
        <f t="shared" si="278"/>
        <v>1.2162027332937653</v>
      </c>
      <c r="F599" s="327">
        <f t="shared" si="279"/>
        <v>0.60547588802671393</v>
      </c>
      <c r="G599" s="326">
        <f t="shared" si="280"/>
        <v>1</v>
      </c>
      <c r="H599" s="327">
        <f t="shared" si="281"/>
        <v>0</v>
      </c>
      <c r="I599" s="325">
        <f t="shared" si="282"/>
        <v>90881.703418511912</v>
      </c>
      <c r="J599" s="328">
        <f t="shared" si="283"/>
        <v>1.5707853234800113</v>
      </c>
      <c r="K599" s="336">
        <f t="shared" ref="K599:K613" si="303">SQRT(1+(A599/Zero2)^2)</f>
        <v>64.289484093965555</v>
      </c>
      <c r="L599" s="337">
        <f t="shared" ref="L599:L613" si="304">ATAN(A599/Zero2)</f>
        <v>1.5552410560850254</v>
      </c>
      <c r="M599" s="325">
        <f t="shared" si="284"/>
        <v>2.6882239566574504</v>
      </c>
      <c r="N599" s="337">
        <f t="shared" si="285"/>
        <v>1.1896413411224886</v>
      </c>
      <c r="O599" s="343">
        <f t="shared" si="286"/>
        <v>1.8871773283120832</v>
      </c>
      <c r="P599" s="691">
        <f t="shared" si="287"/>
        <v>1.0123232207328621</v>
      </c>
      <c r="Q599" s="336">
        <f t="shared" si="302"/>
        <v>11.865748567769206</v>
      </c>
      <c r="R599" s="692">
        <f t="shared" si="288"/>
        <v>1.2237615078884003</v>
      </c>
      <c r="S599" s="329">
        <f t="shared" si="289"/>
        <v>1.8032565041900357</v>
      </c>
      <c r="T599" s="330">
        <f t="shared" si="290"/>
        <v>2.0576646758679549</v>
      </c>
      <c r="U599" s="331">
        <f t="shared" si="291"/>
        <v>-32.022413705362688</v>
      </c>
      <c r="V599" s="332">
        <f t="shared" si="292"/>
        <v>-254.27319090292781</v>
      </c>
      <c r="W599" s="334">
        <f t="shared" si="293"/>
        <v>-74.273190902927809</v>
      </c>
      <c r="Y599" s="307">
        <f t="shared" si="294"/>
        <v>275420</v>
      </c>
      <c r="Z599" s="307">
        <f t="shared" si="295"/>
        <v>75856176400</v>
      </c>
      <c r="AB599" s="333">
        <f t="shared" si="296"/>
        <v>26.111185101943502</v>
      </c>
      <c r="AC599" s="334">
        <f t="shared" si="297"/>
        <v>-69.052048976860632</v>
      </c>
      <c r="AE599" s="333">
        <f t="shared" si="298"/>
        <v>-30.122750360447306</v>
      </c>
      <c r="AF599" s="334">
        <f t="shared" si="299"/>
        <v>-173.10662043073683</v>
      </c>
      <c r="AH599">
        <f t="shared" si="300"/>
        <v>0</v>
      </c>
      <c r="AI599">
        <f t="shared" si="275"/>
        <v>0</v>
      </c>
    </row>
    <row r="600" spans="1:35" x14ac:dyDescent="0.25">
      <c r="A600" s="335">
        <v>302000</v>
      </c>
      <c r="B600" s="352">
        <f t="shared" si="301"/>
        <v>302</v>
      </c>
      <c r="C600" s="325">
        <f t="shared" si="276"/>
        <v>643.2507199272959</v>
      </c>
      <c r="D600" s="326">
        <f t="shared" si="277"/>
        <v>1.569241722389771</v>
      </c>
      <c r="E600" s="326">
        <f t="shared" si="278"/>
        <v>1.2554259574158417</v>
      </c>
      <c r="F600" s="327">
        <f t="shared" si="279"/>
        <v>0.6492418431913719</v>
      </c>
      <c r="G600" s="326">
        <f t="shared" si="280"/>
        <v>1</v>
      </c>
      <c r="H600" s="327">
        <f t="shared" si="281"/>
        <v>0</v>
      </c>
      <c r="I600" s="325">
        <f t="shared" si="282"/>
        <v>99652.437848053887</v>
      </c>
      <c r="J600" s="328">
        <f t="shared" si="283"/>
        <v>1.5707862919174604</v>
      </c>
      <c r="K600" s="336">
        <f t="shared" si="303"/>
        <v>70.492444064110032</v>
      </c>
      <c r="L600" s="337">
        <f t="shared" si="304"/>
        <v>1.556609933396889</v>
      </c>
      <c r="M600" s="325">
        <f t="shared" si="284"/>
        <v>2.9131345067469847</v>
      </c>
      <c r="N600" s="337">
        <f t="shared" si="285"/>
        <v>1.2203970441869079</v>
      </c>
      <c r="O600" s="343">
        <f t="shared" si="286"/>
        <v>2.0198239493630856</v>
      </c>
      <c r="P600" s="691">
        <f t="shared" si="287"/>
        <v>1.0528548572168501</v>
      </c>
      <c r="Q600" s="336">
        <f t="shared" si="302"/>
        <v>12.875980698899218</v>
      </c>
      <c r="R600" s="692">
        <f t="shared" si="288"/>
        <v>1.2539972224901681</v>
      </c>
      <c r="S600" s="329">
        <f t="shared" si="289"/>
        <v>2.1293684350191735</v>
      </c>
      <c r="T600" s="330">
        <f t="shared" si="290"/>
        <v>2.178994304334374</v>
      </c>
      <c r="U600" s="331">
        <f t="shared" si="291"/>
        <v>-34.808570484955659</v>
      </c>
      <c r="V600" s="332">
        <f t="shared" si="292"/>
        <v>-259.81974183458908</v>
      </c>
      <c r="W600" s="334">
        <f t="shared" si="293"/>
        <v>-79.819741834589081</v>
      </c>
      <c r="Y600" s="307">
        <f t="shared" si="294"/>
        <v>302000</v>
      </c>
      <c r="Z600" s="307">
        <f t="shared" si="295"/>
        <v>91204000000</v>
      </c>
      <c r="AB600" s="333">
        <f t="shared" si="296"/>
        <v>25.413106466395149</v>
      </c>
      <c r="AC600" s="334">
        <f t="shared" si="297"/>
        <v>-70.735845555071023</v>
      </c>
      <c r="AE600" s="333">
        <f t="shared" si="298"/>
        <v>-32.091141132484928</v>
      </c>
      <c r="AF600" s="334">
        <f t="shared" si="299"/>
        <v>-177.55928765490941</v>
      </c>
      <c r="AH600">
        <f t="shared" si="300"/>
        <v>0</v>
      </c>
      <c r="AI600">
        <f t="shared" si="275"/>
        <v>0</v>
      </c>
    </row>
    <row r="601" spans="1:35" x14ac:dyDescent="0.25">
      <c r="A601" s="335">
        <v>331130</v>
      </c>
      <c r="B601" s="352">
        <f t="shared" si="301"/>
        <v>331.13</v>
      </c>
      <c r="C601" s="325">
        <f t="shared" si="276"/>
        <v>705.29658144315988</v>
      </c>
      <c r="D601" s="326">
        <f t="shared" si="277"/>
        <v>1.5693784830659496</v>
      </c>
      <c r="E601" s="326">
        <f t="shared" si="278"/>
        <v>1.3009961156629355</v>
      </c>
      <c r="F601" s="327">
        <f t="shared" si="279"/>
        <v>0.69408113854468168</v>
      </c>
      <c r="G601" s="326">
        <f t="shared" si="280"/>
        <v>1</v>
      </c>
      <c r="H601" s="327">
        <f t="shared" si="281"/>
        <v>0</v>
      </c>
      <c r="I601" s="325">
        <f t="shared" si="282"/>
        <v>109264.60842498881</v>
      </c>
      <c r="J601" s="328">
        <f t="shared" si="283"/>
        <v>1.5707871747005961</v>
      </c>
      <c r="K601" s="336">
        <f t="shared" si="303"/>
        <v>77.290622318910536</v>
      </c>
      <c r="L601" s="337">
        <f t="shared" si="304"/>
        <v>1.5578577855913669</v>
      </c>
      <c r="M601" s="325">
        <f t="shared" si="284"/>
        <v>3.1623135204196373</v>
      </c>
      <c r="N601" s="337">
        <f t="shared" si="285"/>
        <v>1.2490495523553897</v>
      </c>
      <c r="O601" s="343">
        <f t="shared" si="286"/>
        <v>2.1685148916128973</v>
      </c>
      <c r="P601" s="691">
        <f t="shared" si="287"/>
        <v>1.0915110606223981</v>
      </c>
      <c r="Q601" s="336">
        <f t="shared" si="302"/>
        <v>13.993861698575685</v>
      </c>
      <c r="R601" s="692">
        <f t="shared" si="288"/>
        <v>1.2822695503124342</v>
      </c>
      <c r="S601" s="329">
        <f t="shared" si="289"/>
        <v>2.5383995821884144</v>
      </c>
      <c r="T601" s="330">
        <f t="shared" si="290"/>
        <v>2.2861803089753656</v>
      </c>
      <c r="U601" s="331">
        <f t="shared" si="291"/>
        <v>-37.644088171060716</v>
      </c>
      <c r="V601" s="332">
        <f t="shared" si="292"/>
        <v>-264.37505041821117</v>
      </c>
      <c r="W601" s="334">
        <f t="shared" si="293"/>
        <v>-84.375050418211174</v>
      </c>
      <c r="Y601" s="307">
        <f t="shared" si="294"/>
        <v>331130</v>
      </c>
      <c r="Z601" s="307">
        <f t="shared" si="295"/>
        <v>109647076900</v>
      </c>
      <c r="AB601" s="333">
        <f t="shared" si="296"/>
        <v>24.700071711524867</v>
      </c>
      <c r="AC601" s="334">
        <f t="shared" si="297"/>
        <v>-72.306067262931535</v>
      </c>
      <c r="AE601" s="333">
        <f t="shared" si="298"/>
        <v>-34.107456684373744</v>
      </c>
      <c r="AF601" s="334">
        <f t="shared" si="299"/>
        <v>-181.13932677726186</v>
      </c>
      <c r="AH601">
        <f t="shared" si="300"/>
        <v>0</v>
      </c>
      <c r="AI601">
        <f t="shared" si="275"/>
        <v>0</v>
      </c>
    </row>
    <row r="602" spans="1:35" x14ac:dyDescent="0.25">
      <c r="A602" s="335">
        <v>363080</v>
      </c>
      <c r="B602" s="352">
        <f t="shared" si="301"/>
        <v>363.08</v>
      </c>
      <c r="C602" s="325">
        <f t="shared" si="276"/>
        <v>773.34895504311305</v>
      </c>
      <c r="D602" s="326">
        <f t="shared" si="277"/>
        <v>1.569503249107064</v>
      </c>
      <c r="E602" s="326">
        <f t="shared" si="278"/>
        <v>1.3537695376434671</v>
      </c>
      <c r="F602" s="327">
        <f t="shared" si="279"/>
        <v>0.73968908901653452</v>
      </c>
      <c r="G602" s="326">
        <f t="shared" si="280"/>
        <v>1</v>
      </c>
      <c r="H602" s="327">
        <f t="shared" si="281"/>
        <v>0</v>
      </c>
      <c r="I602" s="325">
        <f t="shared" si="282"/>
        <v>119807.30838844381</v>
      </c>
      <c r="J602" s="328">
        <f t="shared" si="283"/>
        <v>1.5707879800586795</v>
      </c>
      <c r="K602" s="336">
        <f t="shared" si="303"/>
        <v>84.74702975209577</v>
      </c>
      <c r="L602" s="337">
        <f t="shared" si="304"/>
        <v>1.5589962293713979</v>
      </c>
      <c r="M602" s="325">
        <f t="shared" si="284"/>
        <v>3.438145114625478</v>
      </c>
      <c r="N602" s="337">
        <f t="shared" si="285"/>
        <v>1.2756764918911154</v>
      </c>
      <c r="O602" s="343">
        <f t="shared" si="286"/>
        <v>2.334825480189918</v>
      </c>
      <c r="P602" s="691">
        <f t="shared" si="287"/>
        <v>1.1281884045335886</v>
      </c>
      <c r="Q602" s="336">
        <f t="shared" si="302"/>
        <v>15.230032473498751</v>
      </c>
      <c r="R602" s="692">
        <f t="shared" si="288"/>
        <v>1.3086812041558378</v>
      </c>
      <c r="S602" s="329">
        <f t="shared" si="289"/>
        <v>3.0449704324630646</v>
      </c>
      <c r="T602" s="330">
        <f t="shared" si="290"/>
        <v>2.3801313689587684</v>
      </c>
      <c r="U602" s="331">
        <f t="shared" si="291"/>
        <v>-40.499182365403314</v>
      </c>
      <c r="V602" s="332">
        <f t="shared" si="292"/>
        <v>-268.02430379539805</v>
      </c>
      <c r="W602" s="334">
        <f t="shared" si="293"/>
        <v>-88.024303795398055</v>
      </c>
      <c r="Y602" s="307">
        <f t="shared" si="294"/>
        <v>363080</v>
      </c>
      <c r="Z602" s="307">
        <f t="shared" si="295"/>
        <v>131827086400</v>
      </c>
      <c r="AB602" s="333">
        <f t="shared" si="296"/>
        <v>23.97356382787607</v>
      </c>
      <c r="AC602" s="334">
        <f t="shared" si="297"/>
        <v>-73.766496641157929</v>
      </c>
      <c r="AE602" s="333">
        <f t="shared" si="298"/>
        <v>-36.142618263196333</v>
      </c>
      <c r="AF602" s="334">
        <f t="shared" si="299"/>
        <v>-183.916331491568</v>
      </c>
      <c r="AH602">
        <f t="shared" si="300"/>
        <v>0</v>
      </c>
      <c r="AI602">
        <f t="shared" ref="AI602:AI613" si="305">IF(AH602&gt;0,W602,0)</f>
        <v>0</v>
      </c>
    </row>
    <row r="603" spans="1:35" x14ac:dyDescent="0.25">
      <c r="A603" s="335">
        <v>398110</v>
      </c>
      <c r="B603" s="352">
        <f t="shared" si="301"/>
        <v>398.11</v>
      </c>
      <c r="C603" s="325">
        <f t="shared" si="276"/>
        <v>847.96163156480247</v>
      </c>
      <c r="D603" s="326">
        <f t="shared" si="277"/>
        <v>1.5696170278802208</v>
      </c>
      <c r="E603" s="326">
        <f t="shared" si="278"/>
        <v>1.4146092863167894</v>
      </c>
      <c r="F603" s="327">
        <f t="shared" si="279"/>
        <v>0.78567786509182436</v>
      </c>
      <c r="G603" s="326">
        <f t="shared" si="280"/>
        <v>1</v>
      </c>
      <c r="H603" s="327">
        <f t="shared" si="281"/>
        <v>0</v>
      </c>
      <c r="I603" s="325">
        <f t="shared" si="282"/>
        <v>131366.33122794933</v>
      </c>
      <c r="J603" s="328">
        <f t="shared" si="283"/>
        <v>1.570788714494312</v>
      </c>
      <c r="K603" s="336">
        <f t="shared" si="303"/>
        <v>92.922344524254456</v>
      </c>
      <c r="L603" s="337">
        <f t="shared" si="304"/>
        <v>1.560034444834234</v>
      </c>
      <c r="M603" s="325">
        <f t="shared" si="284"/>
        <v>3.7429345182126226</v>
      </c>
      <c r="N603" s="337">
        <f t="shared" si="285"/>
        <v>1.3003411975536323</v>
      </c>
      <c r="O603" s="343">
        <f t="shared" si="286"/>
        <v>2.5202759138143027</v>
      </c>
      <c r="P603" s="691">
        <f t="shared" si="287"/>
        <v>1.1627879785436381</v>
      </c>
      <c r="Q603" s="336">
        <f t="shared" si="302"/>
        <v>16.594788898134535</v>
      </c>
      <c r="R603" s="692">
        <f t="shared" si="288"/>
        <v>1.3333176573078056</v>
      </c>
      <c r="S603" s="329">
        <f t="shared" si="289"/>
        <v>3.6662572023500233</v>
      </c>
      <c r="T603" s="330">
        <f t="shared" si="290"/>
        <v>2.462170214404237</v>
      </c>
      <c r="U603" s="331">
        <f t="shared" si="291"/>
        <v>-43.349564999826164</v>
      </c>
      <c r="V603" s="332">
        <f t="shared" si="292"/>
        <v>-270.8792351454897</v>
      </c>
      <c r="W603" s="334">
        <f t="shared" si="293"/>
        <v>-90.879235145489702</v>
      </c>
      <c r="Y603" s="307">
        <f t="shared" si="294"/>
        <v>398110</v>
      </c>
      <c r="Z603" s="307">
        <f t="shared" si="295"/>
        <v>158491572100</v>
      </c>
      <c r="AB603" s="333">
        <f t="shared" si="296"/>
        <v>23.235701569866606</v>
      </c>
      <c r="AC603" s="334">
        <f t="shared" si="297"/>
        <v>-75.120236895915795</v>
      </c>
      <c r="AE603" s="333">
        <f t="shared" si="298"/>
        <v>-38.173593878738473</v>
      </c>
      <c r="AF603" s="334">
        <f t="shared" si="299"/>
        <v>-185.98836736350077</v>
      </c>
      <c r="AH603">
        <f t="shared" si="300"/>
        <v>0</v>
      </c>
      <c r="AI603">
        <f t="shared" si="305"/>
        <v>0</v>
      </c>
    </row>
    <row r="604" spans="1:35" x14ac:dyDescent="0.25">
      <c r="A604" s="335">
        <v>436520</v>
      </c>
      <c r="B604" s="352">
        <f t="shared" si="301"/>
        <v>436.52</v>
      </c>
      <c r="C604" s="325">
        <f t="shared" si="276"/>
        <v>929.77360052917788</v>
      </c>
      <c r="D604" s="326">
        <f t="shared" si="277"/>
        <v>1.5697207959428425</v>
      </c>
      <c r="E604" s="326">
        <f t="shared" si="278"/>
        <v>1.4844582055076618</v>
      </c>
      <c r="F604" s="327">
        <f t="shared" si="279"/>
        <v>0.83166462068233271</v>
      </c>
      <c r="G604" s="326">
        <f t="shared" si="280"/>
        <v>1</v>
      </c>
      <c r="H604" s="327">
        <f t="shared" si="281"/>
        <v>0</v>
      </c>
      <c r="I604" s="325">
        <f t="shared" si="282"/>
        <v>144040.66943142578</v>
      </c>
      <c r="J604" s="328">
        <f t="shared" si="283"/>
        <v>1.5707893843111942</v>
      </c>
      <c r="K604" s="336">
        <f t="shared" si="303"/>
        <v>101.88658074345105</v>
      </c>
      <c r="L604" s="337">
        <f t="shared" si="304"/>
        <v>1.5609813340003198</v>
      </c>
      <c r="M604" s="325">
        <f t="shared" si="284"/>
        <v>4.0793389425971256</v>
      </c>
      <c r="N604" s="337">
        <f t="shared" si="285"/>
        <v>1.3231345439268207</v>
      </c>
      <c r="O604" s="343">
        <f t="shared" si="286"/>
        <v>2.7265910958834718</v>
      </c>
      <c r="P604" s="691">
        <f t="shared" si="287"/>
        <v>1.1952741902939821</v>
      </c>
      <c r="Q604" s="336">
        <f t="shared" si="302"/>
        <v>18.100014327522477</v>
      </c>
      <c r="R604" s="692">
        <f t="shared" si="288"/>
        <v>1.356289039915741</v>
      </c>
      <c r="S604" s="329">
        <f t="shared" si="289"/>
        <v>4.4234061054811828</v>
      </c>
      <c r="T604" s="330">
        <f t="shared" si="290"/>
        <v>2.5338236978349302</v>
      </c>
      <c r="U604" s="331">
        <f t="shared" si="291"/>
        <v>-46.179974587891422</v>
      </c>
      <c r="V604" s="332">
        <f t="shared" si="292"/>
        <v>-273.06236441948658</v>
      </c>
      <c r="W604" s="334">
        <f t="shared" si="293"/>
        <v>-93.062364419486585</v>
      </c>
      <c r="Y604" s="307">
        <f t="shared" si="294"/>
        <v>436520</v>
      </c>
      <c r="Z604" s="307">
        <f t="shared" si="295"/>
        <v>190549710400</v>
      </c>
      <c r="AB604" s="333">
        <f t="shared" si="296"/>
        <v>22.488065708556096</v>
      </c>
      <c r="AC604" s="334">
        <f t="shared" si="297"/>
        <v>-76.37198507030665</v>
      </c>
      <c r="AE604" s="333">
        <f t="shared" si="298"/>
        <v>-40.185662339357542</v>
      </c>
      <c r="AF604" s="334">
        <f t="shared" si="299"/>
        <v>-187.46490801637799</v>
      </c>
      <c r="AH604">
        <f t="shared" si="300"/>
        <v>0</v>
      </c>
      <c r="AI604">
        <f t="shared" si="305"/>
        <v>0</v>
      </c>
    </row>
    <row r="605" spans="1:35" x14ac:dyDescent="0.25">
      <c r="A605" s="335">
        <v>478630</v>
      </c>
      <c r="B605" s="352">
        <f t="shared" si="301"/>
        <v>478.63</v>
      </c>
      <c r="C605" s="325">
        <f t="shared" si="276"/>
        <v>1019.4664508453736</v>
      </c>
      <c r="D605" s="326">
        <f t="shared" si="277"/>
        <v>1.5698154213815469</v>
      </c>
      <c r="E605" s="326">
        <f t="shared" si="278"/>
        <v>1.5643007116323484</v>
      </c>
      <c r="F605" s="327">
        <f t="shared" si="279"/>
        <v>0.87725648472592421</v>
      </c>
      <c r="G605" s="326">
        <f t="shared" si="280"/>
        <v>1</v>
      </c>
      <c r="H605" s="327">
        <f t="shared" si="281"/>
        <v>0</v>
      </c>
      <c r="I605" s="325">
        <f t="shared" si="282"/>
        <v>157935.91498598878</v>
      </c>
      <c r="J605" s="328">
        <f t="shared" si="283"/>
        <v>1.5707899951128337</v>
      </c>
      <c r="K605" s="336">
        <f t="shared" si="303"/>
        <v>111.71442091581162</v>
      </c>
      <c r="L605" s="337">
        <f t="shared" si="304"/>
        <v>1.5618448114321992</v>
      </c>
      <c r="M605" s="325">
        <f t="shared" si="284"/>
        <v>4.4501976531373115</v>
      </c>
      <c r="N605" s="337">
        <f t="shared" si="285"/>
        <v>1.3441518147782285</v>
      </c>
      <c r="O605" s="343">
        <f t="shared" si="286"/>
        <v>2.955601149361748</v>
      </c>
      <c r="P605" s="691">
        <f t="shared" si="287"/>
        <v>1.2256433401581843</v>
      </c>
      <c r="Q605" s="336">
        <f t="shared" si="302"/>
        <v>19.758418465886106</v>
      </c>
      <c r="R605" s="692">
        <f t="shared" si="288"/>
        <v>1.3777078620905836</v>
      </c>
      <c r="S605" s="329">
        <f t="shared" si="289"/>
        <v>5.3419600738868214</v>
      </c>
      <c r="T605" s="330">
        <f t="shared" si="290"/>
        <v>2.5965419455768637</v>
      </c>
      <c r="U605" s="331">
        <f t="shared" si="291"/>
        <v>-48.98052974230491</v>
      </c>
      <c r="V605" s="332">
        <f t="shared" si="292"/>
        <v>-274.69100186247078</v>
      </c>
      <c r="W605" s="334">
        <f t="shared" si="293"/>
        <v>-94.691001862470785</v>
      </c>
      <c r="Y605" s="307">
        <f t="shared" si="294"/>
        <v>478630</v>
      </c>
      <c r="Z605" s="307">
        <f t="shared" si="295"/>
        <v>229086676900</v>
      </c>
      <c r="AB605" s="333">
        <f t="shared" si="296"/>
        <v>21.732205150449076</v>
      </c>
      <c r="AC605" s="334">
        <f t="shared" si="297"/>
        <v>-77.526747372099734</v>
      </c>
      <c r="AE605" s="333">
        <f t="shared" si="298"/>
        <v>-42.169408018317156</v>
      </c>
      <c r="AF605" s="334">
        <f t="shared" si="299"/>
        <v>-188.45159916001444</v>
      </c>
      <c r="AH605">
        <f t="shared" si="300"/>
        <v>0</v>
      </c>
      <c r="AI605">
        <f t="shared" si="305"/>
        <v>0</v>
      </c>
    </row>
    <row r="606" spans="1:35" x14ac:dyDescent="0.25">
      <c r="A606" s="335">
        <v>524810</v>
      </c>
      <c r="B606" s="352">
        <f t="shared" si="301"/>
        <v>524.80999999999995</v>
      </c>
      <c r="C606" s="325">
        <f t="shared" si="276"/>
        <v>1117.8282697760974</v>
      </c>
      <c r="D606" s="326">
        <f t="shared" si="277"/>
        <v>1.5699017348791073</v>
      </c>
      <c r="E606" s="326">
        <f t="shared" si="278"/>
        <v>1.6552154812330901</v>
      </c>
      <c r="F606" s="327">
        <f t="shared" si="279"/>
        <v>0.92209637572958525</v>
      </c>
      <c r="G606" s="326">
        <f t="shared" si="280"/>
        <v>1</v>
      </c>
      <c r="H606" s="327">
        <f t="shared" si="281"/>
        <v>0</v>
      </c>
      <c r="I606" s="325">
        <f t="shared" si="282"/>
        <v>173174.15862674144</v>
      </c>
      <c r="J606" s="328">
        <f t="shared" si="283"/>
        <v>1.5707905522612831</v>
      </c>
      <c r="K606" s="336">
        <f t="shared" si="303"/>
        <v>122.49221747751879</v>
      </c>
      <c r="L606" s="337">
        <f t="shared" si="304"/>
        <v>1.5626324521519102</v>
      </c>
      <c r="M606" s="325">
        <f t="shared" si="284"/>
        <v>4.858798157468363</v>
      </c>
      <c r="N606" s="337">
        <f t="shared" si="285"/>
        <v>1.3635027104825217</v>
      </c>
      <c r="O606" s="343">
        <f t="shared" si="286"/>
        <v>3.2094086836574052</v>
      </c>
      <c r="P606" s="691">
        <f t="shared" si="287"/>
        <v>1.2539368937359228</v>
      </c>
      <c r="Q606" s="336">
        <f t="shared" si="302"/>
        <v>21.584729487222837</v>
      </c>
      <c r="R606" s="692">
        <f t="shared" si="288"/>
        <v>1.3976999833691239</v>
      </c>
      <c r="S606" s="329">
        <f t="shared" si="289"/>
        <v>6.4533637846083156</v>
      </c>
      <c r="T606" s="330">
        <f t="shared" si="290"/>
        <v>2.6516450513937575</v>
      </c>
      <c r="U606" s="331">
        <f t="shared" si="291"/>
        <v>-51.746951401495053</v>
      </c>
      <c r="V606" s="332">
        <f t="shared" si="292"/>
        <v>-275.87197720821871</v>
      </c>
      <c r="W606" s="334">
        <f t="shared" si="293"/>
        <v>-95.871977208218709</v>
      </c>
      <c r="Y606" s="307">
        <f t="shared" si="294"/>
        <v>524810</v>
      </c>
      <c r="Z606" s="307">
        <f t="shared" si="295"/>
        <v>275425536100</v>
      </c>
      <c r="AB606" s="333">
        <f t="shared" si="296"/>
        <v>20.969155447580015</v>
      </c>
      <c r="AC606" s="334">
        <f t="shared" si="297"/>
        <v>-78.590375460211561</v>
      </c>
      <c r="AE606" s="333">
        <f t="shared" si="298"/>
        <v>-44.120475285676228</v>
      </c>
      <c r="AF606" s="334">
        <f t="shared" si="299"/>
        <v>-189.04458345285161</v>
      </c>
      <c r="AH606">
        <f t="shared" si="300"/>
        <v>0</v>
      </c>
      <c r="AI606">
        <f t="shared" si="305"/>
        <v>0</v>
      </c>
    </row>
    <row r="607" spans="1:35" x14ac:dyDescent="0.25">
      <c r="A607" s="335">
        <v>575440</v>
      </c>
      <c r="B607" s="352">
        <f t="shared" si="301"/>
        <v>575.44000000000005</v>
      </c>
      <c r="C607" s="325">
        <f t="shared" si="276"/>
        <v>1225.6684443119036</v>
      </c>
      <c r="D607" s="326">
        <f t="shared" si="277"/>
        <v>1.5699804453747748</v>
      </c>
      <c r="E607" s="326">
        <f t="shared" si="278"/>
        <v>1.758296244113376</v>
      </c>
      <c r="F607" s="327">
        <f t="shared" si="279"/>
        <v>0.96583243642243854</v>
      </c>
      <c r="G607" s="326">
        <f t="shared" si="280"/>
        <v>1</v>
      </c>
      <c r="H607" s="327">
        <f t="shared" si="281"/>
        <v>0</v>
      </c>
      <c r="I607" s="325">
        <f t="shared" si="282"/>
        <v>189880.79083838454</v>
      </c>
      <c r="J607" s="328">
        <f t="shared" si="283"/>
        <v>1.570791060332736</v>
      </c>
      <c r="K607" s="336">
        <f t="shared" si="303"/>
        <v>134.30865737174801</v>
      </c>
      <c r="L607" s="337">
        <f t="shared" si="304"/>
        <v>1.5633507215812428</v>
      </c>
      <c r="M607" s="325">
        <f t="shared" si="284"/>
        <v>5.3085252606524307</v>
      </c>
      <c r="N607" s="337">
        <f t="shared" si="285"/>
        <v>1.3812878089558878</v>
      </c>
      <c r="O607" s="343">
        <f t="shared" si="286"/>
        <v>3.4901746463989309</v>
      </c>
      <c r="P607" s="691">
        <f t="shared" si="287"/>
        <v>1.2802052056390434</v>
      </c>
      <c r="Q607" s="336">
        <f t="shared" si="302"/>
        <v>23.594128028795797</v>
      </c>
      <c r="R607" s="692">
        <f t="shared" si="288"/>
        <v>1.4163812716376747</v>
      </c>
      <c r="S607" s="329">
        <f t="shared" si="289"/>
        <v>7.7950697019109407</v>
      </c>
      <c r="T607" s="330">
        <f t="shared" si="290"/>
        <v>2.7002359525418851</v>
      </c>
      <c r="U607" s="331">
        <f t="shared" si="291"/>
        <v>-54.476489666693141</v>
      </c>
      <c r="V607" s="332">
        <f t="shared" si="292"/>
        <v>-276.69783080758157</v>
      </c>
      <c r="W607" s="334">
        <f t="shared" si="293"/>
        <v>-96.697830807581568</v>
      </c>
      <c r="Y607" s="307">
        <f t="shared" si="294"/>
        <v>575440</v>
      </c>
      <c r="Z607" s="307">
        <f t="shared" si="295"/>
        <v>331131193600</v>
      </c>
      <c r="AB607" s="333">
        <f t="shared" si="296"/>
        <v>20.200206151003876</v>
      </c>
      <c r="AC607" s="334">
        <f t="shared" si="297"/>
        <v>-79.568261845573289</v>
      </c>
      <c r="AE607" s="333">
        <f t="shared" si="298"/>
        <v>-46.036360544306987</v>
      </c>
      <c r="AF607" s="334">
        <f t="shared" si="299"/>
        <v>-189.32725510067635</v>
      </c>
      <c r="AH607">
        <f t="shared" si="300"/>
        <v>0</v>
      </c>
      <c r="AI607">
        <f t="shared" si="305"/>
        <v>0</v>
      </c>
    </row>
    <row r="608" spans="1:35" x14ac:dyDescent="0.25">
      <c r="A608" s="335">
        <v>630960</v>
      </c>
      <c r="B608" s="352">
        <f t="shared" si="301"/>
        <v>630.96</v>
      </c>
      <c r="C608" s="325">
        <f t="shared" si="276"/>
        <v>1343.9241594575378</v>
      </c>
      <c r="D608" s="326">
        <f t="shared" si="277"/>
        <v>1.5700522371189718</v>
      </c>
      <c r="E608" s="326">
        <f t="shared" si="278"/>
        <v>1.8747489811063367</v>
      </c>
      <c r="F608" s="327">
        <f t="shared" si="279"/>
        <v>1.0081756609788364</v>
      </c>
      <c r="G608" s="326">
        <f t="shared" si="280"/>
        <v>1</v>
      </c>
      <c r="H608" s="327">
        <f t="shared" si="281"/>
        <v>0</v>
      </c>
      <c r="I608" s="325">
        <f t="shared" si="282"/>
        <v>208201.00060320378</v>
      </c>
      <c r="J608" s="328">
        <f t="shared" si="283"/>
        <v>1.5707915237440127</v>
      </c>
      <c r="K608" s="336">
        <f t="shared" si="303"/>
        <v>147.26643136601399</v>
      </c>
      <c r="L608" s="337">
        <f t="shared" si="304"/>
        <v>1.5640058608629341</v>
      </c>
      <c r="M608" s="325">
        <f t="shared" si="284"/>
        <v>5.8033046457002202</v>
      </c>
      <c r="N608" s="337">
        <f t="shared" si="285"/>
        <v>1.3976163618034714</v>
      </c>
      <c r="O608" s="343">
        <f t="shared" si="286"/>
        <v>3.8003963566919818</v>
      </c>
      <c r="P608" s="691">
        <f t="shared" si="287"/>
        <v>1.3045307579546745</v>
      </c>
      <c r="Q608" s="336">
        <f t="shared" si="302"/>
        <v>25.804234965784154</v>
      </c>
      <c r="R608" s="692">
        <f t="shared" si="288"/>
        <v>1.4338766166065677</v>
      </c>
      <c r="S608" s="329">
        <f t="shared" si="289"/>
        <v>9.4129404112642323</v>
      </c>
      <c r="T608" s="330">
        <f t="shared" si="290"/>
        <v>2.7432658116241653</v>
      </c>
      <c r="U608" s="331">
        <f t="shared" si="291"/>
        <v>-57.169785941941967</v>
      </c>
      <c r="V608" s="332">
        <f t="shared" si="292"/>
        <v>-277.24799037778939</v>
      </c>
      <c r="W608" s="334">
        <f t="shared" si="293"/>
        <v>-97.247990377789392</v>
      </c>
      <c r="Y608" s="307">
        <f t="shared" si="294"/>
        <v>630960</v>
      </c>
      <c r="Z608" s="307">
        <f t="shared" si="295"/>
        <v>398110521600</v>
      </c>
      <c r="AB608" s="333">
        <f t="shared" si="296"/>
        <v>19.426136020347972</v>
      </c>
      <c r="AC608" s="334">
        <f t="shared" si="297"/>
        <v>-80.46630884599854</v>
      </c>
      <c r="AE608" s="333">
        <f t="shared" si="298"/>
        <v>-47.91748024130456</v>
      </c>
      <c r="AF608" s="334">
        <f t="shared" si="299"/>
        <v>-189.37070972507337</v>
      </c>
      <c r="AH608">
        <f t="shared" si="300"/>
        <v>0</v>
      </c>
      <c r="AI608">
        <f t="shared" si="305"/>
        <v>0</v>
      </c>
    </row>
    <row r="609" spans="1:35" x14ac:dyDescent="0.25">
      <c r="A609" s="335">
        <v>691830</v>
      </c>
      <c r="B609" s="352">
        <f t="shared" si="301"/>
        <v>691.83</v>
      </c>
      <c r="C609" s="325">
        <f t="shared" si="276"/>
        <v>1473.5751995963165</v>
      </c>
      <c r="D609" s="326">
        <f t="shared" si="277"/>
        <v>1.5701177051154407</v>
      </c>
      <c r="E609" s="326">
        <f t="shared" si="278"/>
        <v>2.0058117791395209</v>
      </c>
      <c r="F609" s="327">
        <f t="shared" si="279"/>
        <v>1.0488695999067397</v>
      </c>
      <c r="G609" s="326">
        <f t="shared" si="280"/>
        <v>1</v>
      </c>
      <c r="H609" s="327">
        <f t="shared" si="281"/>
        <v>0</v>
      </c>
      <c r="I609" s="325">
        <f t="shared" si="282"/>
        <v>228286.57640267999</v>
      </c>
      <c r="J609" s="328">
        <f t="shared" si="283"/>
        <v>1.5707919463358448</v>
      </c>
      <c r="K609" s="336">
        <f t="shared" si="303"/>
        <v>161.47289853878189</v>
      </c>
      <c r="L609" s="337">
        <f t="shared" si="304"/>
        <v>1.564603297491858</v>
      </c>
      <c r="M609" s="325">
        <f t="shared" si="284"/>
        <v>6.3472490713070364</v>
      </c>
      <c r="N609" s="337">
        <f t="shared" si="285"/>
        <v>1.4125886030105195</v>
      </c>
      <c r="O609" s="343">
        <f t="shared" si="286"/>
        <v>4.1426892689194013</v>
      </c>
      <c r="P609" s="691">
        <f t="shared" si="287"/>
        <v>1.3269993088747731</v>
      </c>
      <c r="Q609" s="336">
        <f t="shared" si="302"/>
        <v>28.233537668701342</v>
      </c>
      <c r="R609" s="692">
        <f t="shared" si="288"/>
        <v>1.4503020296638778</v>
      </c>
      <c r="S609" s="329">
        <f t="shared" si="289"/>
        <v>11.361641578339066</v>
      </c>
      <c r="T609" s="330">
        <f t="shared" si="290"/>
        <v>2.7815106357694166</v>
      </c>
      <c r="U609" s="331">
        <f t="shared" si="291"/>
        <v>-59.827765278197063</v>
      </c>
      <c r="V609" s="332">
        <f t="shared" si="292"/>
        <v>-277.58881102930735</v>
      </c>
      <c r="W609" s="334">
        <f t="shared" si="293"/>
        <v>-97.588811029307351</v>
      </c>
      <c r="Y609" s="307">
        <f t="shared" si="294"/>
        <v>691830</v>
      </c>
      <c r="Z609" s="307">
        <f t="shared" si="295"/>
        <v>478628748900</v>
      </c>
      <c r="AB609" s="333">
        <f t="shared" si="296"/>
        <v>18.647898908868971</v>
      </c>
      <c r="AC609" s="334">
        <f t="shared" si="297"/>
        <v>-81.289948693319971</v>
      </c>
      <c r="AE609" s="333">
        <f t="shared" si="298"/>
        <v>-49.764805572491248</v>
      </c>
      <c r="AF609" s="334">
        <f t="shared" si="299"/>
        <v>-189.23413682421909</v>
      </c>
      <c r="AH609">
        <f t="shared" si="300"/>
        <v>0</v>
      </c>
      <c r="AI609">
        <f t="shared" si="305"/>
        <v>0</v>
      </c>
    </row>
    <row r="610" spans="1:35" x14ac:dyDescent="0.25">
      <c r="A610" s="335">
        <v>758580</v>
      </c>
      <c r="B610" s="352">
        <f t="shared" si="301"/>
        <v>758.58</v>
      </c>
      <c r="C610" s="325">
        <f t="shared" si="276"/>
        <v>1615.7504467929123</v>
      </c>
      <c r="D610" s="326">
        <f t="shared" si="277"/>
        <v>1.570177419298491</v>
      </c>
      <c r="E610" s="326">
        <f t="shared" si="278"/>
        <v>2.1528624050443566</v>
      </c>
      <c r="F610" s="327">
        <f t="shared" si="279"/>
        <v>1.0877288113827936</v>
      </c>
      <c r="G610" s="326">
        <f t="shared" si="280"/>
        <v>1</v>
      </c>
      <c r="H610" s="327">
        <f t="shared" si="281"/>
        <v>0</v>
      </c>
      <c r="I610" s="325">
        <f t="shared" si="282"/>
        <v>250312.40496547625</v>
      </c>
      <c r="J610" s="328">
        <f t="shared" si="283"/>
        <v>1.5707923317871377</v>
      </c>
      <c r="K610" s="336">
        <f t="shared" si="303"/>
        <v>177.05175574676679</v>
      </c>
      <c r="L610" s="337">
        <f t="shared" si="304"/>
        <v>1.5651482307755524</v>
      </c>
      <c r="M610" s="325">
        <f t="shared" si="284"/>
        <v>6.9451050122464704</v>
      </c>
      <c r="N610" s="337">
        <f t="shared" si="285"/>
        <v>1.4263078013203807</v>
      </c>
      <c r="O610" s="343">
        <f t="shared" si="286"/>
        <v>4.520069195517066</v>
      </c>
      <c r="P610" s="691">
        <f t="shared" si="287"/>
        <v>1.3477150923578112</v>
      </c>
      <c r="Q610" s="336">
        <f t="shared" si="302"/>
        <v>30.903395250165513</v>
      </c>
      <c r="R610" s="692">
        <f t="shared" si="288"/>
        <v>1.4657781494886091</v>
      </c>
      <c r="S610" s="329">
        <f t="shared" si="289"/>
        <v>13.707878503950358</v>
      </c>
      <c r="T610" s="330">
        <f t="shared" si="290"/>
        <v>2.8156310391242774</v>
      </c>
      <c r="U610" s="331">
        <f t="shared" si="291"/>
        <v>-62.453323228597746</v>
      </c>
      <c r="V610" s="332">
        <f t="shared" si="292"/>
        <v>-277.77535995014904</v>
      </c>
      <c r="W610" s="334">
        <f t="shared" si="293"/>
        <v>-97.775359950149038</v>
      </c>
      <c r="Y610" s="307">
        <f t="shared" si="294"/>
        <v>758580</v>
      </c>
      <c r="Z610" s="307">
        <f t="shared" si="295"/>
        <v>575443616400</v>
      </c>
      <c r="AB610" s="333">
        <f t="shared" si="296"/>
        <v>17.866005363691428</v>
      </c>
      <c r="AC610" s="334">
        <f t="shared" si="297"/>
        <v>-82.044800563100964</v>
      </c>
      <c r="AE610" s="333">
        <f t="shared" si="298"/>
        <v>-51.580906501128815</v>
      </c>
      <c r="AF610" s="334">
        <f t="shared" si="299"/>
        <v>-188.96604448931191</v>
      </c>
      <c r="AH610">
        <f t="shared" si="300"/>
        <v>0</v>
      </c>
      <c r="AI610">
        <f t="shared" si="305"/>
        <v>0</v>
      </c>
    </row>
    <row r="611" spans="1:35" x14ac:dyDescent="0.25">
      <c r="A611" s="335">
        <v>831760</v>
      </c>
      <c r="B611" s="352">
        <f t="shared" si="301"/>
        <v>831.76</v>
      </c>
      <c r="C611" s="325">
        <f t="shared" si="276"/>
        <v>1771.6213824847105</v>
      </c>
      <c r="D611" s="326">
        <f t="shared" si="277"/>
        <v>1.5702318720739341</v>
      </c>
      <c r="E611" s="326">
        <f t="shared" si="278"/>
        <v>2.317313764113742</v>
      </c>
      <c r="F611" s="327">
        <f t="shared" si="279"/>
        <v>1.1246036030851718</v>
      </c>
      <c r="G611" s="326">
        <f t="shared" si="280"/>
        <v>1</v>
      </c>
      <c r="H611" s="327">
        <f t="shared" si="281"/>
        <v>0</v>
      </c>
      <c r="I611" s="325">
        <f t="shared" si="282"/>
        <v>274459.97251945088</v>
      </c>
      <c r="J611" s="328">
        <f t="shared" si="283"/>
        <v>1.5707926832763506</v>
      </c>
      <c r="K611" s="336">
        <f t="shared" si="303"/>
        <v>194.13136810429356</v>
      </c>
      <c r="L611" s="337">
        <f t="shared" si="304"/>
        <v>1.5656451529675508</v>
      </c>
      <c r="M611" s="325">
        <f t="shared" si="284"/>
        <v>7.6018064792468474</v>
      </c>
      <c r="N611" s="337">
        <f t="shared" si="285"/>
        <v>1.4388662614863503</v>
      </c>
      <c r="O611" s="343">
        <f t="shared" si="286"/>
        <v>4.9356731795795925</v>
      </c>
      <c r="P611" s="691">
        <f t="shared" si="287"/>
        <v>1.3667773222053212</v>
      </c>
      <c r="Q611" s="336">
        <f t="shared" si="302"/>
        <v>33.836059678797014</v>
      </c>
      <c r="R611" s="692">
        <f t="shared" si="288"/>
        <v>1.4804153476820983</v>
      </c>
      <c r="S611" s="329">
        <f t="shared" si="289"/>
        <v>16.530859398829513</v>
      </c>
      <c r="T611" s="330">
        <f t="shared" si="290"/>
        <v>2.8461618577488457</v>
      </c>
      <c r="U611" s="331">
        <f t="shared" si="291"/>
        <v>-65.048616810918062</v>
      </c>
      <c r="V611" s="332">
        <f t="shared" si="292"/>
        <v>-277.85255670295652</v>
      </c>
      <c r="W611" s="334">
        <f t="shared" si="293"/>
        <v>-97.85255670295652</v>
      </c>
      <c r="Y611" s="307">
        <f t="shared" si="294"/>
        <v>831760</v>
      </c>
      <c r="Z611" s="307">
        <f t="shared" si="295"/>
        <v>691824697600</v>
      </c>
      <c r="AB611" s="333">
        <f t="shared" si="296"/>
        <v>17.081222203777699</v>
      </c>
      <c r="AC611" s="334">
        <f t="shared" si="297"/>
        <v>-82.735895923084428</v>
      </c>
      <c r="AE611" s="333">
        <f t="shared" si="298"/>
        <v>-53.36797143739669</v>
      </c>
      <c r="AF611" s="334">
        <f t="shared" si="299"/>
        <v>-188.60568152041267</v>
      </c>
      <c r="AH611">
        <f t="shared" si="300"/>
        <v>0</v>
      </c>
      <c r="AI611">
        <f t="shared" si="305"/>
        <v>0</v>
      </c>
    </row>
    <row r="612" spans="1:35" x14ac:dyDescent="0.25">
      <c r="A612" s="335">
        <v>912010</v>
      </c>
      <c r="B612" s="352">
        <f t="shared" si="301"/>
        <v>912.01</v>
      </c>
      <c r="C612" s="325">
        <f t="shared" si="276"/>
        <v>1942.5511851198785</v>
      </c>
      <c r="D612" s="326">
        <f t="shared" si="277"/>
        <v>1.5702815398220602</v>
      </c>
      <c r="E612" s="326">
        <f t="shared" si="278"/>
        <v>2.5007729041129956</v>
      </c>
      <c r="F612" s="327">
        <f t="shared" si="279"/>
        <v>1.1594143642595278</v>
      </c>
      <c r="G612" s="326">
        <f t="shared" si="280"/>
        <v>1</v>
      </c>
      <c r="H612" s="327">
        <f t="shared" si="281"/>
        <v>0</v>
      </c>
      <c r="I612" s="325">
        <f t="shared" si="282"/>
        <v>300940.46303883917</v>
      </c>
      <c r="J612" s="328">
        <f t="shared" si="283"/>
        <v>1.5707930038784967</v>
      </c>
      <c r="K612" s="336">
        <f t="shared" si="303"/>
        <v>212.86110636678768</v>
      </c>
      <c r="L612" s="337">
        <f t="shared" si="304"/>
        <v>1.5660984104142057</v>
      </c>
      <c r="M612" s="325">
        <f t="shared" si="284"/>
        <v>8.3231027274371883</v>
      </c>
      <c r="N612" s="337">
        <f t="shared" si="285"/>
        <v>1.4503578676344102</v>
      </c>
      <c r="O612" s="343">
        <f t="shared" si="286"/>
        <v>5.3931573150418828</v>
      </c>
      <c r="P612" s="691">
        <f t="shared" si="287"/>
        <v>1.384296924680849</v>
      </c>
      <c r="Q612" s="336">
        <f t="shared" si="302"/>
        <v>37.057497718828763</v>
      </c>
      <c r="R612" s="692">
        <f t="shared" si="288"/>
        <v>1.4943283838497727</v>
      </c>
      <c r="S612" s="329">
        <f t="shared" si="289"/>
        <v>19.92735335733736</v>
      </c>
      <c r="T612" s="330">
        <f t="shared" si="290"/>
        <v>2.8735650358667857</v>
      </c>
      <c r="U612" s="331">
        <f t="shared" si="291"/>
        <v>-67.617324068851801</v>
      </c>
      <c r="V612" s="332">
        <f t="shared" si="292"/>
        <v>-277.85680734434163</v>
      </c>
      <c r="W612" s="334">
        <f t="shared" si="293"/>
        <v>-97.856807344341632</v>
      </c>
      <c r="Y612" s="307">
        <f t="shared" si="294"/>
        <v>912010</v>
      </c>
      <c r="Z612" s="307">
        <f t="shared" si="295"/>
        <v>831762240100</v>
      </c>
      <c r="AB612" s="333">
        <f t="shared" si="296"/>
        <v>16.293833907210821</v>
      </c>
      <c r="AC612" s="334">
        <f t="shared" si="297"/>
        <v>-83.3683650863412</v>
      </c>
      <c r="AE612" s="333">
        <f t="shared" si="298"/>
        <v>-55.129298110016379</v>
      </c>
      <c r="AF612" s="334">
        <f t="shared" si="299"/>
        <v>-188.18410402675124</v>
      </c>
      <c r="AH612">
        <f t="shared" si="300"/>
        <v>0</v>
      </c>
      <c r="AI612">
        <f t="shared" si="305"/>
        <v>0</v>
      </c>
    </row>
    <row r="613" spans="1:35" x14ac:dyDescent="0.25">
      <c r="A613" s="335">
        <v>1000000</v>
      </c>
      <c r="B613" s="352">
        <f t="shared" si="301"/>
        <v>1000</v>
      </c>
      <c r="C613" s="325">
        <f t="shared" si="276"/>
        <v>2129.966932179007</v>
      </c>
      <c r="D613" s="326">
        <f t="shared" si="277"/>
        <v>1.5703268359208229</v>
      </c>
      <c r="E613" s="326">
        <f t="shared" si="278"/>
        <v>2.7049116071069261</v>
      </c>
      <c r="F613" s="327">
        <f t="shared" si="279"/>
        <v>1.1921125183465748</v>
      </c>
      <c r="G613" s="326">
        <f t="shared" si="280"/>
        <v>1</v>
      </c>
      <c r="H613" s="327">
        <f t="shared" si="281"/>
        <v>0</v>
      </c>
      <c r="I613" s="325">
        <f t="shared" si="282"/>
        <v>329974.95974666905</v>
      </c>
      <c r="J613" s="328">
        <f t="shared" si="283"/>
        <v>1.5707932962619109</v>
      </c>
      <c r="K613" s="336">
        <f t="shared" si="303"/>
        <v>233.39734343308788</v>
      </c>
      <c r="L613" s="337">
        <f t="shared" si="304"/>
        <v>1.5665117747736026</v>
      </c>
      <c r="M613" s="325">
        <f t="shared" si="284"/>
        <v>9.1150205704649938</v>
      </c>
      <c r="N613" s="337">
        <f t="shared" si="285"/>
        <v>1.4608660257740387</v>
      </c>
      <c r="O613" s="343">
        <f t="shared" si="286"/>
        <v>5.8963578914950547</v>
      </c>
      <c r="P613" s="691">
        <f t="shared" si="287"/>
        <v>1.4003763891572458</v>
      </c>
      <c r="Q613" s="336">
        <f t="shared" si="302"/>
        <v>40.595014662057451</v>
      </c>
      <c r="R613" s="692">
        <f t="shared" si="288"/>
        <v>1.5076228703555021</v>
      </c>
      <c r="S613" s="329">
        <f t="shared" si="289"/>
        <v>24.012484626948485</v>
      </c>
      <c r="T613" s="330">
        <f t="shared" si="290"/>
        <v>2.8982176899250214</v>
      </c>
      <c r="U613" s="331">
        <f t="shared" si="291"/>
        <v>-70.162086360547718</v>
      </c>
      <c r="V613" s="332">
        <f t="shared" si="292"/>
        <v>-277.81726777110242</v>
      </c>
      <c r="W613" s="334">
        <f t="shared" si="293"/>
        <v>-97.817267771102422</v>
      </c>
      <c r="Y613" s="307">
        <f t="shared" si="294"/>
        <v>1000000</v>
      </c>
      <c r="Z613" s="307">
        <f t="shared" si="295"/>
        <v>1000000000000</v>
      </c>
      <c r="AB613" s="333">
        <f t="shared" si="296"/>
        <v>15.504369818191996</v>
      </c>
      <c r="AC613" s="334">
        <f t="shared" si="297"/>
        <v>-83.946770917999942</v>
      </c>
      <c r="AE613" s="333">
        <f t="shared" si="298"/>
        <v>-56.86747902103933</v>
      </c>
      <c r="AF613" s="334">
        <f t="shared" si="299"/>
        <v>-187.72572610579175</v>
      </c>
      <c r="AH613">
        <f t="shared" si="300"/>
        <v>0</v>
      </c>
      <c r="AI613">
        <f t="shared" si="305"/>
        <v>0</v>
      </c>
    </row>
    <row r="614" spans="1:35" x14ac:dyDescent="0.25">
      <c r="A614" s="338"/>
      <c r="B614" s="338"/>
      <c r="C614" s="339"/>
      <c r="D614" s="339"/>
      <c r="E614" s="339"/>
      <c r="F614" s="339"/>
      <c r="G614" s="326"/>
      <c r="H614" s="327"/>
      <c r="I614" s="339"/>
      <c r="J614" s="339"/>
      <c r="K614" s="339"/>
      <c r="L614" s="339"/>
      <c r="M614" s="339"/>
      <c r="N614" s="339"/>
      <c r="O614" s="339"/>
      <c r="P614" s="339"/>
      <c r="Q614" s="339"/>
      <c r="R614" s="339"/>
      <c r="S614" s="339"/>
      <c r="T614" s="340"/>
      <c r="U614" s="415"/>
      <c r="V614" s="332"/>
      <c r="W614" s="341"/>
      <c r="AE614" s="333"/>
      <c r="AF614" s="334"/>
    </row>
    <row r="615" spans="1:35" x14ac:dyDescent="0.25">
      <c r="A615" s="338"/>
      <c r="B615" s="338"/>
      <c r="C615" s="339"/>
      <c r="D615" s="339"/>
      <c r="E615" s="339"/>
      <c r="F615" s="339"/>
      <c r="G615" s="326"/>
      <c r="H615" s="327"/>
      <c r="I615" s="339"/>
      <c r="J615" s="339"/>
      <c r="K615" s="339"/>
      <c r="L615" s="339"/>
      <c r="M615" s="339"/>
      <c r="N615" s="339"/>
      <c r="O615" s="339"/>
      <c r="P615" s="339"/>
      <c r="Q615" s="339"/>
      <c r="R615" s="339"/>
      <c r="S615" s="339"/>
      <c r="T615" s="340"/>
      <c r="U615" s="341"/>
      <c r="V615" s="332"/>
      <c r="W615" s="341"/>
      <c r="AE615" s="333"/>
      <c r="AF615" s="334"/>
    </row>
    <row r="616" spans="1:35" x14ac:dyDescent="0.25">
      <c r="A616" s="307" t="s">
        <v>349</v>
      </c>
      <c r="G616" s="326"/>
      <c r="H616" s="327"/>
      <c r="U616" s="331"/>
      <c r="V616" s="332"/>
      <c r="W616" s="341"/>
      <c r="AE616" s="333"/>
      <c r="AF616" s="334"/>
    </row>
    <row r="617" spans="1:35" x14ac:dyDescent="0.25">
      <c r="A617" s="342">
        <f>U4*1000</f>
        <v>38462</v>
      </c>
      <c r="B617" s="342"/>
      <c r="C617" s="343">
        <f t="shared" ref="C617:C626" si="306">SQRT(1+(A617/pole1)^2)</f>
        <v>81.928882197927905</v>
      </c>
      <c r="D617" s="336">
        <f t="shared" ref="D617:D626" si="307">ATAN(A617/pole1)</f>
        <v>1.5585903158654073</v>
      </c>
      <c r="E617" s="336">
        <f t="shared" ref="E617:E626" si="308">SQRT(1+(A617/Zero1)^2)</f>
        <v>1.0046612505729495</v>
      </c>
      <c r="F617" s="337">
        <f t="shared" ref="F617:F626" si="309">ATAN(A617/Zero1)</f>
        <v>9.6366137757173176E-2</v>
      </c>
      <c r="G617" s="326">
        <f>IF(VIN_nom&gt;Vout, 1, SQRT(1+(A617/z_RHP)^2))</f>
        <v>1</v>
      </c>
      <c r="H617" s="327">
        <f>IF(VIN_nom&gt;Vout, 0, -ATAN(A617/z_RHP))</f>
        <v>0</v>
      </c>
      <c r="I617" s="343">
        <f t="shared" ref="I617:I626" si="310">SQRT(1+(A617/Pole2)^2)</f>
        <v>12691.496941114561</v>
      </c>
      <c r="J617" s="344">
        <f t="shared" ref="J617:J626" si="311">ATAN(A617/Pole2)</f>
        <v>1.5707175338829436</v>
      </c>
      <c r="K617" s="336">
        <f t="shared" ref="K617:K626" si="312">SQRT(1+(A617/Zero2)^2)</f>
        <v>9.0323733414429146</v>
      </c>
      <c r="L617" s="337">
        <f t="shared" ref="L617:L626" si="313">ATAN(A617/Zero2)</f>
        <v>1.4598560231521027</v>
      </c>
      <c r="M617" s="343">
        <f t="shared" ref="M617:M626" si="314">SQRT(1+(A617/pole4)^2)</f>
        <v>1.0589751451356724</v>
      </c>
      <c r="N617" s="344">
        <f>ATAN(A617/pole4)</f>
        <v>0.33530732416551673</v>
      </c>
      <c r="O617" s="343">
        <f>IF(VOUT_setting=1,1,SQRT(1+(A617*zterm1)^2))</f>
        <v>1.0246718675225774</v>
      </c>
      <c r="P617" s="691">
        <f>IF(VOUT_setting=1,0,ATAN(((A617*zterm1))))</f>
        <v>0.21988665944645619</v>
      </c>
      <c r="Q617" s="336">
        <f>IF(VOUT_setting=1,1,SQRT((1+Afbr-$Q$5*(A617)^2)^2+(A617*$Q$4)^2))</f>
        <v>4.4368445791899633</v>
      </c>
      <c r="R617" s="692">
        <f>IF(VOUT_setting=1,0,ATAN(A617*$Q$4/(1+Afbr-$Q$5*(A617)^2)))</f>
        <v>0.35885991228072323</v>
      </c>
      <c r="S617" s="343">
        <f>SQRT((1-(A617^2/(pole3^2)))^2+(A617/(Q*pole3))^2)</f>
        <v>0.9894021433040876</v>
      </c>
      <c r="T617" s="407">
        <f>ATAN((A617/(Q*pole3))/(1-A617^2/pole3^2))</f>
        <v>0.22688651765650775</v>
      </c>
      <c r="U617" s="331">
        <f>20*LOG10(((E617*K617*G617*O617)/(C617*I617*S617*M617*Q617))*Adc)</f>
        <v>1.4155947465395481E-2</v>
      </c>
      <c r="V617" s="332">
        <f>((F617+L617+H617+P617)-(D617+J617+T617+N617+R617))*radconv</f>
        <v>-130.30508618905952</v>
      </c>
      <c r="W617" s="334">
        <f t="shared" ref="W617:W626" si="315">IF(V617&gt;0,V617,V617+180)</f>
        <v>49.694913810940477</v>
      </c>
      <c r="X617" s="307" t="s">
        <v>350</v>
      </c>
      <c r="AB617" s="333">
        <f>20*LOG10((K617/(I617*M617))*AEA)</f>
        <v>34.255289676888637</v>
      </c>
      <c r="AC617" s="334">
        <f>(L617-(J617+N617))*radconv</f>
        <v>-25.563591219041189</v>
      </c>
      <c r="AE617" s="333">
        <f>20*LOG10((E617*G617/(C617*S617))*Acs*Am)</f>
        <v>-9.4701458416459481</v>
      </c>
      <c r="AF617" s="334">
        <f>(F617+H617-(D617+T617))*radconv</f>
        <v>-96.778914108311753</v>
      </c>
    </row>
    <row r="618" spans="1:35" x14ac:dyDescent="0.25">
      <c r="A618" s="342">
        <f>A617</f>
        <v>38462</v>
      </c>
      <c r="B618" s="342"/>
      <c r="C618" s="343"/>
      <c r="D618" s="336"/>
      <c r="E618" s="336"/>
      <c r="F618" s="337"/>
      <c r="G618" s="326"/>
      <c r="H618" s="327"/>
      <c r="I618" s="343"/>
      <c r="J618" s="344"/>
      <c r="K618" s="336"/>
      <c r="L618" s="337"/>
      <c r="M618" s="325"/>
      <c r="N618" s="328"/>
      <c r="O618" s="683"/>
      <c r="P618" s="683"/>
      <c r="Q618" s="683"/>
      <c r="R618" s="683"/>
      <c r="S618" s="343"/>
      <c r="T618" s="330"/>
      <c r="U618" s="331"/>
      <c r="V618" s="332">
        <v>-135</v>
      </c>
      <c r="W618" s="334"/>
      <c r="AB618" s="333"/>
      <c r="AC618" s="334"/>
      <c r="AE618" s="333"/>
      <c r="AF618" s="334"/>
    </row>
    <row r="619" spans="1:35" x14ac:dyDescent="0.25">
      <c r="A619" s="307">
        <f>A618</f>
        <v>38462</v>
      </c>
      <c r="B619" s="342"/>
      <c r="C619" s="343"/>
      <c r="D619" s="336"/>
      <c r="E619" s="336"/>
      <c r="F619" s="337"/>
      <c r="G619" s="326"/>
      <c r="H619" s="327"/>
      <c r="I619" s="343"/>
      <c r="J619" s="344"/>
      <c r="K619" s="336"/>
      <c r="L619" s="337"/>
      <c r="M619" s="325"/>
      <c r="N619" s="328"/>
      <c r="O619" s="683"/>
      <c r="P619" s="683"/>
      <c r="Q619" s="683"/>
      <c r="R619" s="683"/>
      <c r="S619" s="343"/>
      <c r="T619" s="330"/>
      <c r="U619" s="331"/>
      <c r="V619" s="332"/>
      <c r="W619" s="334"/>
      <c r="AB619" s="333"/>
      <c r="AC619" s="334"/>
      <c r="AE619" s="333"/>
      <c r="AF619" s="334"/>
    </row>
    <row r="620" spans="1:35" x14ac:dyDescent="0.25">
      <c r="A620" s="342">
        <v>1000000</v>
      </c>
      <c r="B620" s="342"/>
      <c r="C620" s="343"/>
      <c r="D620" s="336"/>
      <c r="E620" s="336"/>
      <c r="F620" s="337"/>
      <c r="G620" s="326"/>
      <c r="H620" s="327"/>
      <c r="I620" s="343"/>
      <c r="J620" s="344"/>
      <c r="K620" s="336"/>
      <c r="L620" s="337"/>
      <c r="M620" s="325"/>
      <c r="N620" s="328"/>
      <c r="O620" s="683"/>
      <c r="P620" s="683"/>
      <c r="Q620" s="683"/>
      <c r="R620" s="683"/>
      <c r="S620" s="343"/>
      <c r="T620" s="330"/>
      <c r="U620" s="331"/>
      <c r="V620" s="332">
        <f>V617</f>
        <v>-130.30508618905952</v>
      </c>
      <c r="W620" s="334"/>
      <c r="AB620" s="333"/>
      <c r="AC620" s="334"/>
      <c r="AE620" s="333"/>
      <c r="AF620" s="334"/>
    </row>
    <row r="621" spans="1:35" x14ac:dyDescent="0.25">
      <c r="A621" s="342"/>
      <c r="B621" s="342"/>
      <c r="C621" s="343"/>
      <c r="D621" s="336"/>
      <c r="E621" s="336"/>
      <c r="F621" s="337"/>
      <c r="G621" s="326"/>
      <c r="H621" s="327"/>
      <c r="I621" s="343"/>
      <c r="J621" s="344"/>
      <c r="K621" s="336"/>
      <c r="L621" s="337"/>
      <c r="M621" s="325"/>
      <c r="N621" s="328"/>
      <c r="O621" s="683"/>
      <c r="P621" s="683"/>
      <c r="Q621" s="683"/>
      <c r="R621" s="683"/>
      <c r="S621" s="343"/>
      <c r="T621" s="330"/>
      <c r="U621" s="331"/>
      <c r="V621" s="332"/>
      <c r="W621" s="334"/>
      <c r="AB621" s="333"/>
      <c r="AC621" s="334"/>
      <c r="AE621" s="333"/>
      <c r="AF621" s="334"/>
    </row>
    <row r="622" spans="1:35" x14ac:dyDescent="0.25">
      <c r="A622" s="416">
        <f>pole1</f>
        <v>469.49090856909527</v>
      </c>
      <c r="B622" s="342"/>
      <c r="C622" s="343">
        <f t="shared" si="306"/>
        <v>1.4142135623730951</v>
      </c>
      <c r="D622" s="336">
        <f t="shared" si="307"/>
        <v>0.78539816339744828</v>
      </c>
      <c r="E622" s="336">
        <f t="shared" si="308"/>
        <v>1.0000006961517915</v>
      </c>
      <c r="F622" s="337">
        <f t="shared" si="309"/>
        <v>1.1799588024617167E-3</v>
      </c>
      <c r="G622" s="326">
        <f t="shared" ref="G622:G628" si="316">IF(VIN_nom&gt;Vout, 1, SQRT(1+(A622/z_RHP)^2))</f>
        <v>1</v>
      </c>
      <c r="H622" s="327">
        <f t="shared" ref="H622:H628" si="317">IF(VIN_nom&gt;Vout, 0, -ATAN(A622/z_RHP))</f>
        <v>0</v>
      </c>
      <c r="I622" s="343">
        <f t="shared" si="310"/>
        <v>154.92347108935218</v>
      </c>
      <c r="J622" s="344">
        <f t="shared" si="311"/>
        <v>1.5643414821082127</v>
      </c>
      <c r="K622" s="336">
        <f t="shared" si="312"/>
        <v>1.0059856373241107</v>
      </c>
      <c r="L622" s="337">
        <f t="shared" si="313"/>
        <v>0.10914149062666678</v>
      </c>
      <c r="M622" s="325">
        <f t="shared" si="314"/>
        <v>1.0000090464629507</v>
      </c>
      <c r="N622" s="328">
        <f t="shared" ref="N622:N628" si="318">ATAN(A622/pole4)</f>
        <v>4.2535619785165069E-3</v>
      </c>
      <c r="O622" s="343">
        <f>IF(VOUT_setting=1,1,SQRT(1+(A622*zterm1)^2))</f>
        <v>1.0000037214870805</v>
      </c>
      <c r="P622" s="691">
        <f>IF(VOUT_setting=1,0,ATAN(((A622*zterm1))))</f>
        <v>2.7281772447411701E-3</v>
      </c>
      <c r="Q622" s="336">
        <f>IF(VOUT_setting=1,1,SQRT((1+Afbr-$Q$5*(A622)^2)^2+(A622*$Q$4)^2))</f>
        <v>4.1566088262360505</v>
      </c>
      <c r="R622" s="692">
        <f>IF(VOUT_setting=1,0,ATAN(A622*$Q$4/(1+Afbr-$Q$5*(A622)^2)))</f>
        <v>4.5760953265315965E-3</v>
      </c>
      <c r="S622" s="343">
        <f t="shared" ref="S622:S628" si="319">SQRT((1-(A622^2/(pole3^2)))^2+(A622/(Q*pole3))^2)</f>
        <v>0.99999833297340057</v>
      </c>
      <c r="T622" s="330">
        <f t="shared" ref="T622:T628" si="320">ATAN((A622/(Q*pole3))/(1-A622^2/pole3^2))</f>
        <v>2.7167247421969708E-3</v>
      </c>
      <c r="U622" s="331">
        <f t="shared" ref="U622:U628" si="321">20*LOG10(((E622*K622*G622*O622)/(C622*I622*S622*M622*Q622))*Adc)</f>
        <v>55.196065656439579</v>
      </c>
      <c r="V622" s="332">
        <f t="shared" ref="V622:V628" si="322">((F622+L622+H622+P622)-(D622+J622+T622+N622+R622))*radconv</f>
        <v>-128.81445726524299</v>
      </c>
      <c r="W622" s="334">
        <f t="shared" si="315"/>
        <v>51.185542734757007</v>
      </c>
      <c r="X622" s="307" t="s">
        <v>324</v>
      </c>
      <c r="AB622" s="333">
        <f>20*LOG10((K622/(I622*M622))*AEA)</f>
        <v>53.956637051910178</v>
      </c>
      <c r="AC622" s="334">
        <f>(L622-(J622+N622))*radconv</f>
        <v>-83.620529104182609</v>
      </c>
      <c r="AE622" s="333">
        <f t="shared" ref="AE622:AE628" si="323">20*LOG10((E622*G622/(C622*S622))*Acs*Am)</f>
        <v>25.655379216040082</v>
      </c>
      <c r="AF622" s="334">
        <f t="shared" ref="AF622:AF628" si="324">(F622+H622-(D622+T622))*radconv</f>
        <v>-45.088050253966891</v>
      </c>
    </row>
    <row r="623" spans="1:35" x14ac:dyDescent="0.25">
      <c r="A623" s="416">
        <f>Zero1</f>
        <v>397887.35818439093</v>
      </c>
      <c r="B623" s="342"/>
      <c r="C623" s="343">
        <f t="shared" si="306"/>
        <v>847.48741224204298</v>
      </c>
      <c r="D623" s="336">
        <f t="shared" si="307"/>
        <v>1.5696163679924349</v>
      </c>
      <c r="E623" s="336">
        <f t="shared" si="308"/>
        <v>1.4142135623730951</v>
      </c>
      <c r="F623" s="337">
        <f t="shared" si="309"/>
        <v>0.78539816339744828</v>
      </c>
      <c r="G623" s="326">
        <f t="shared" si="316"/>
        <v>1</v>
      </c>
      <c r="H623" s="327">
        <f t="shared" si="317"/>
        <v>0</v>
      </c>
      <c r="I623" s="343">
        <f t="shared" si="310"/>
        <v>131292.86500380826</v>
      </c>
      <c r="J623" s="344">
        <f t="shared" si="311"/>
        <v>1.5707887102347737</v>
      </c>
      <c r="K623" s="336">
        <f t="shared" si="312"/>
        <v>92.870384003728546</v>
      </c>
      <c r="L623" s="337">
        <f t="shared" si="313"/>
        <v>1.5600284233818424</v>
      </c>
      <c r="M623" s="325">
        <f t="shared" si="314"/>
        <v>3.7409907462443339</v>
      </c>
      <c r="N623" s="328">
        <f t="shared" si="318"/>
        <v>1.3001971399882135</v>
      </c>
      <c r="O623" s="343">
        <f t="shared" ref="O623:O628" si="325">IF(VOUT_setting=1,1,SQRT(1+(A623*zterm1)^2))</f>
        <v>2.5190884085319434</v>
      </c>
      <c r="P623" s="691">
        <f t="shared" ref="P623:P628" si="326">IF(VOUT_setting=1,0,ATAN(((A623*zterm1))))</f>
        <v>1.1625841984711414</v>
      </c>
      <c r="Q623" s="336">
        <f t="shared" ref="Q623:Q628" si="327">IF(VOUT_setting=1,1,SQRT((1+Afbr-$Q$5*(A623)^2)^2+(A623*$Q$4)^2))</f>
        <v>16.586088555767688</v>
      </c>
      <c r="R623" s="692">
        <f t="shared" ref="R623:R628" si="328">IF(VOUT_setting=1,0,ATAN(A623*$Q$4/(1+Afbr-$Q$5*(A623)^2)))</f>
        <v>1.3331731670572498</v>
      </c>
      <c r="S623" s="343">
        <f t="shared" si="319"/>
        <v>3.6620972414163062</v>
      </c>
      <c r="T623" s="330">
        <f t="shared" si="320"/>
        <v>-0.6798878207180532</v>
      </c>
      <c r="U623" s="331">
        <f t="shared" si="321"/>
        <v>-43.332301158692914</v>
      </c>
      <c r="V623" s="332">
        <f t="shared" si="322"/>
        <v>-90.864046385757078</v>
      </c>
      <c r="W623" s="334">
        <f t="shared" si="315"/>
        <v>89.135953614242922</v>
      </c>
      <c r="X623" s="307" t="s">
        <v>319</v>
      </c>
      <c r="AB623" s="333">
        <f>20*LOG10((K623/(I623*M623))*AEA)</f>
        <v>23.240214040386611</v>
      </c>
      <c r="AC623" s="334">
        <f>(L623-(J623+N623))*radconv</f>
        <v>-75.112327765156323</v>
      </c>
      <c r="AE623" s="333">
        <f t="shared" si="323"/>
        <v>-38.161303966607491</v>
      </c>
      <c r="AF623" s="334">
        <f t="shared" si="324"/>
        <v>-5.9776906779585213</v>
      </c>
    </row>
    <row r="624" spans="1:35" x14ac:dyDescent="0.25">
      <c r="A624" s="416">
        <f>Pole2</f>
        <v>3.0305329858129837</v>
      </c>
      <c r="B624" s="342"/>
      <c r="C624" s="343">
        <f t="shared" si="306"/>
        <v>1.000020832871632</v>
      </c>
      <c r="D624" s="336">
        <f t="shared" si="307"/>
        <v>6.4548446866839757E-3</v>
      </c>
      <c r="E624" s="336">
        <f t="shared" si="308"/>
        <v>1.0000000000290061</v>
      </c>
      <c r="F624" s="337">
        <f t="shared" si="309"/>
        <v>7.616560122902816E-6</v>
      </c>
      <c r="G624" s="326">
        <f t="shared" si="316"/>
        <v>1</v>
      </c>
      <c r="H624" s="327">
        <f t="shared" si="317"/>
        <v>0</v>
      </c>
      <c r="I624" s="343">
        <f t="shared" si="310"/>
        <v>1.4142135623730951</v>
      </c>
      <c r="J624" s="344">
        <f t="shared" si="311"/>
        <v>0.78539816339744828</v>
      </c>
      <c r="K624" s="336">
        <f t="shared" si="312"/>
        <v>1.0000002501449994</v>
      </c>
      <c r="L624" s="337">
        <f t="shared" si="313"/>
        <v>7.0731173787338562E-4</v>
      </c>
      <c r="M624" s="325">
        <f t="shared" si="314"/>
        <v>1.0000000003769332</v>
      </c>
      <c r="N624" s="328">
        <f t="shared" si="318"/>
        <v>2.7456628844566086E-5</v>
      </c>
      <c r="O624" s="343">
        <f t="shared" si="325"/>
        <v>1.0000000001550604</v>
      </c>
      <c r="P624" s="691">
        <f t="shared" si="326"/>
        <v>1.7610248658683697E-5</v>
      </c>
      <c r="Q624" s="336">
        <f t="shared" si="327"/>
        <v>4.1565656583643813</v>
      </c>
      <c r="R624" s="692">
        <f t="shared" si="328"/>
        <v>2.953859852577167E-5</v>
      </c>
      <c r="S624" s="343">
        <f t="shared" si="319"/>
        <v>0.99999999993054089</v>
      </c>
      <c r="T624" s="330">
        <f t="shared" si="320"/>
        <v>1.7536229015203102E-5</v>
      </c>
      <c r="U624" s="331">
        <f t="shared" si="321"/>
        <v>98.946511582541575</v>
      </c>
      <c r="V624" s="332">
        <f t="shared" si="322"/>
        <v>-45.33213438059682</v>
      </c>
      <c r="W624" s="334">
        <f t="shared" si="315"/>
        <v>134.66786561940319</v>
      </c>
      <c r="X624" s="307" t="s">
        <v>327</v>
      </c>
      <c r="AA624" s="307">
        <f>Pole2</f>
        <v>3.0305329858129837</v>
      </c>
      <c r="AB624" s="333">
        <f>20*LOG10((K624/(I624*M624))*AEA)</f>
        <v>94.696926613448014</v>
      </c>
      <c r="AC624" s="334">
        <f>(L624-(J624+N624))*radconv</f>
        <v>-44.96104722294772</v>
      </c>
      <c r="AE624" s="333">
        <f t="shared" si="323"/>
        <v>28.665477697079499</v>
      </c>
      <c r="AF624" s="334">
        <f t="shared" si="324"/>
        <v>-0.37040371354437995</v>
      </c>
    </row>
    <row r="625" spans="1:32" x14ac:dyDescent="0.25">
      <c r="A625" s="416">
        <f>Zero2</f>
        <v>4284.5782392116616</v>
      </c>
      <c r="B625" s="342"/>
      <c r="C625" s="343">
        <f t="shared" si="306"/>
        <v>9.1806339419329177</v>
      </c>
      <c r="D625" s="336">
        <f t="shared" si="307"/>
        <v>1.4616548361682298</v>
      </c>
      <c r="E625" s="336">
        <f t="shared" si="308"/>
        <v>1.0000579766728968</v>
      </c>
      <c r="F625" s="337">
        <f t="shared" si="309"/>
        <v>1.0767903413054142E-2</v>
      </c>
      <c r="G625" s="326">
        <f t="shared" si="316"/>
        <v>1</v>
      </c>
      <c r="H625" s="327">
        <f t="shared" si="317"/>
        <v>0</v>
      </c>
      <c r="I625" s="343">
        <f t="shared" si="310"/>
        <v>1413.8038856647136</v>
      </c>
      <c r="J625" s="344">
        <f t="shared" si="311"/>
        <v>1.5700890150570233</v>
      </c>
      <c r="K625" s="336">
        <f t="shared" si="312"/>
        <v>1.4142135623730951</v>
      </c>
      <c r="L625" s="337">
        <f t="shared" si="313"/>
        <v>0.78539816339744828</v>
      </c>
      <c r="M625" s="325">
        <f t="shared" si="314"/>
        <v>1.0007531457720547</v>
      </c>
      <c r="N625" s="328">
        <f t="shared" si="318"/>
        <v>3.8798798568637251E-2</v>
      </c>
      <c r="O625" s="343">
        <f t="shared" si="325"/>
        <v>1.0003098930371694</v>
      </c>
      <c r="P625" s="691">
        <f t="shared" si="326"/>
        <v>2.4892289177487283E-2</v>
      </c>
      <c r="Q625" s="336">
        <f t="shared" si="327"/>
        <v>4.16015946625292</v>
      </c>
      <c r="R625" s="692">
        <f t="shared" si="328"/>
        <v>4.1737815606004557E-2</v>
      </c>
      <c r="S625" s="343">
        <f t="shared" si="319"/>
        <v>0.99986125212356758</v>
      </c>
      <c r="T625" s="330">
        <f t="shared" si="320"/>
        <v>2.4798764647394125E-2</v>
      </c>
      <c r="U625" s="331">
        <f t="shared" si="321"/>
        <v>22.692407568139565</v>
      </c>
      <c r="V625" s="332">
        <f t="shared" si="322"/>
        <v>-132.69822149942763</v>
      </c>
      <c r="W625" s="334">
        <f t="shared" si="315"/>
        <v>47.301778500572368</v>
      </c>
      <c r="X625" s="307" t="s">
        <v>322</v>
      </c>
      <c r="AA625" s="307">
        <f>Zero2</f>
        <v>4284.5782392116616</v>
      </c>
      <c r="AB625" s="333">
        <f>20*LOG10((K625/(I625*M625))*AEA)</f>
        <v>37.703201659789428</v>
      </c>
      <c r="AC625" s="334">
        <f>(L625-(J625+N625))*radconv</f>
        <v>-47.182481484694776</v>
      </c>
      <c r="AE625" s="333">
        <f t="shared" si="323"/>
        <v>9.4099140195640647</v>
      </c>
      <c r="AF625" s="334">
        <f t="shared" si="324"/>
        <v>-84.550562445599851</v>
      </c>
    </row>
    <row r="626" spans="1:32" x14ac:dyDescent="0.25">
      <c r="A626" s="416">
        <f>pole3</f>
        <v>202840</v>
      </c>
      <c r="B626" s="342"/>
      <c r="C626" s="343">
        <f t="shared" si="306"/>
        <v>432.04360219957533</v>
      </c>
      <c r="D626" s="336">
        <f t="shared" si="307"/>
        <v>1.5684817435264671</v>
      </c>
      <c r="E626" s="336">
        <f t="shared" si="308"/>
        <v>1.1224475114666739</v>
      </c>
      <c r="F626" s="337">
        <f t="shared" si="309"/>
        <v>0.47145090242215998</v>
      </c>
      <c r="G626" s="326">
        <f t="shared" si="316"/>
        <v>1</v>
      </c>
      <c r="H626" s="327">
        <f t="shared" si="317"/>
        <v>0</v>
      </c>
      <c r="I626" s="343">
        <f t="shared" si="310"/>
        <v>66932.120842177246</v>
      </c>
      <c r="J626" s="344">
        <f t="shared" si="311"/>
        <v>1.5707813862852062</v>
      </c>
      <c r="K626" s="336">
        <f t="shared" si="312"/>
        <v>47.352442896909068</v>
      </c>
      <c r="L626" s="337">
        <f t="shared" si="313"/>
        <v>1.5496765221193285</v>
      </c>
      <c r="M626" s="325">
        <f t="shared" si="314"/>
        <v>2.0921885725441101</v>
      </c>
      <c r="N626" s="328">
        <f t="shared" si="318"/>
        <v>1.0724559891114713</v>
      </c>
      <c r="O626" s="343">
        <f t="shared" si="325"/>
        <v>1.5457403275212187</v>
      </c>
      <c r="P626" s="691">
        <f t="shared" si="326"/>
        <v>0.86723271315715567</v>
      </c>
      <c r="Q626" s="336">
        <f t="shared" si="327"/>
        <v>9.1798453734409975</v>
      </c>
      <c r="R626" s="692">
        <f t="shared" si="328"/>
        <v>1.1088967811863726</v>
      </c>
      <c r="S626" s="343">
        <f t="shared" si="319"/>
        <v>1.1737369992889841</v>
      </c>
      <c r="T626" s="330" t="e">
        <f t="shared" si="320"/>
        <v>#DIV/0!</v>
      </c>
      <c r="U626" s="331">
        <f t="shared" si="321"/>
        <v>-23.658800446701523</v>
      </c>
      <c r="V626" s="332" t="e">
        <f t="shared" si="322"/>
        <v>#DIV/0!</v>
      </c>
      <c r="W626" s="334" t="e">
        <f t="shared" si="315"/>
        <v>#DIV/0!</v>
      </c>
      <c r="X626" s="307" t="s">
        <v>320</v>
      </c>
      <c r="AB626" s="333">
        <f>20*LOG10((K626/(I626*M626))*AEA)</f>
        <v>28.289363938287423</v>
      </c>
      <c r="AC626" s="334">
        <f>(L626-(J626+N626))*radconv</f>
        <v>-62.656421605112541</v>
      </c>
      <c r="AE626" s="333">
        <f t="shared" si="323"/>
        <v>-24.432987991059456</v>
      </c>
      <c r="AF626" s="334" t="e">
        <f t="shared" si="324"/>
        <v>#DIV/0!</v>
      </c>
    </row>
    <row r="627" spans="1:32" ht="13" thickBot="1" x14ac:dyDescent="0.3">
      <c r="A627" s="393">
        <f>Fp2_u</f>
        <v>110375.27593818985</v>
      </c>
      <c r="C627" s="343">
        <f>SQRT(1+(A627/pole1)^2)</f>
        <v>235.09778875258064</v>
      </c>
      <c r="D627" s="336">
        <f>ATAN(A627/pole1)</f>
        <v>1.5665427648163801</v>
      </c>
      <c r="E627" s="336">
        <f>SQRT(1+(A627/Zero1)^2)</f>
        <v>1.0377632699443016</v>
      </c>
      <c r="F627" s="337">
        <f>ATAN(A627/Zero1)</f>
        <v>0.27059918680668316</v>
      </c>
      <c r="G627" s="326">
        <f t="shared" si="316"/>
        <v>1</v>
      </c>
      <c r="H627" s="327">
        <f t="shared" si="317"/>
        <v>0</v>
      </c>
      <c r="I627" s="343">
        <f>SQRT(1+(A627/Pole2)^2)</f>
        <v>36421.07724829275</v>
      </c>
      <c r="J627" s="344">
        <f>ATAN(A627/Pole2)</f>
        <v>1.570768870166052</v>
      </c>
      <c r="K627" s="336">
        <f>SQRT(1+(A627/Zero2)^2)</f>
        <v>25.780461563219305</v>
      </c>
      <c r="L627" s="337">
        <f>ATAN(A627/Zero2)</f>
        <v>1.5319975282262595</v>
      </c>
      <c r="M627" s="325">
        <f>SQRT(1+(A627/pole4)^2)</f>
        <v>1.4142135623730951</v>
      </c>
      <c r="N627" s="328">
        <f t="shared" si="318"/>
        <v>0.78539816339744828</v>
      </c>
      <c r="O627" s="343">
        <f t="shared" si="325"/>
        <v>1.1880125109235558</v>
      </c>
      <c r="P627" s="691">
        <f t="shared" si="326"/>
        <v>0.57029457356949564</v>
      </c>
      <c r="Q627" s="336">
        <f t="shared" si="327"/>
        <v>6.0920059330777176</v>
      </c>
      <c r="R627" s="692">
        <f t="shared" si="328"/>
        <v>0.82424519139947749</v>
      </c>
      <c r="S627" s="343">
        <f t="shared" si="319"/>
        <v>0.95047353775167287</v>
      </c>
      <c r="T627" s="330">
        <f t="shared" si="320"/>
        <v>0.73686375059759213</v>
      </c>
      <c r="U627" s="331">
        <f t="shared" si="321"/>
        <v>-12.540450355082836</v>
      </c>
      <c r="V627" s="332">
        <f t="shared" si="322"/>
        <v>-178.24301356173982</v>
      </c>
      <c r="W627" s="334">
        <f>IF(V627&gt;0,V627,V627+180)</f>
        <v>1.756986438260185</v>
      </c>
      <c r="X627" s="307" t="s">
        <v>332</v>
      </c>
      <c r="AB627" s="345"/>
      <c r="AC627" s="346"/>
      <c r="AE627" s="333">
        <f t="shared" si="323"/>
        <v>-17.996146933841469</v>
      </c>
      <c r="AF627" s="334">
        <f t="shared" si="324"/>
        <v>-116.47128062554894</v>
      </c>
    </row>
    <row r="628" spans="1:32" x14ac:dyDescent="0.25">
      <c r="A628" s="393">
        <f>z_RHP</f>
        <v>0</v>
      </c>
      <c r="C628" s="343">
        <f>SQRT(1+(A628/pole1)^2)</f>
        <v>1</v>
      </c>
      <c r="D628" s="336">
        <f>ATAN(A628/pole1)</f>
        <v>0</v>
      </c>
      <c r="E628" s="336">
        <f>SQRT(1+(A628/Zero1)^2)</f>
        <v>1</v>
      </c>
      <c r="F628" s="337">
        <f>ATAN(A628/Zero1)</f>
        <v>0</v>
      </c>
      <c r="G628" s="326">
        <f t="shared" si="316"/>
        <v>1</v>
      </c>
      <c r="H628" s="327">
        <f t="shared" si="317"/>
        <v>0</v>
      </c>
      <c r="I628" s="343">
        <f>SQRT(1+(A628/Pole2)^2)</f>
        <v>1</v>
      </c>
      <c r="J628" s="344">
        <f>ATAN(A628/Pole2)</f>
        <v>0</v>
      </c>
      <c r="K628" s="336">
        <f>SQRT(1+(A628/Zero2)^2)</f>
        <v>1</v>
      </c>
      <c r="L628" s="337">
        <f>ATAN(A628/Zero2)</f>
        <v>0</v>
      </c>
      <c r="M628" s="325">
        <f>SQRT(1+(A628/pole4)^2)</f>
        <v>1</v>
      </c>
      <c r="N628" s="328">
        <f t="shared" si="318"/>
        <v>0</v>
      </c>
      <c r="O628" s="343">
        <f t="shared" si="325"/>
        <v>1</v>
      </c>
      <c r="P628" s="691">
        <f t="shared" si="326"/>
        <v>0</v>
      </c>
      <c r="Q628" s="336">
        <f t="shared" si="327"/>
        <v>4.1565656565656566</v>
      </c>
      <c r="R628" s="692">
        <f t="shared" si="328"/>
        <v>0</v>
      </c>
      <c r="S628" s="343">
        <f t="shared" si="319"/>
        <v>1</v>
      </c>
      <c r="T628" s="330">
        <f t="shared" si="320"/>
        <v>0</v>
      </c>
      <c r="U628" s="331">
        <f t="shared" si="321"/>
        <v>101.95699032141945</v>
      </c>
      <c r="V628" s="332">
        <f t="shared" si="322"/>
        <v>0</v>
      </c>
      <c r="W628" s="334">
        <f>IF(V628&gt;0,V628,V628+180)</f>
        <v>180</v>
      </c>
      <c r="X628" s="307" t="s">
        <v>426</v>
      </c>
      <c r="AB628" s="341"/>
      <c r="AC628" s="341"/>
      <c r="AE628" s="333">
        <f t="shared" si="323"/>
        <v>28.665658646363234</v>
      </c>
      <c r="AF628" s="334">
        <f t="shared" si="324"/>
        <v>0</v>
      </c>
    </row>
    <row r="629" spans="1:32" x14ac:dyDescent="0.25">
      <c r="A629" s="393">
        <f>Fp2_u</f>
        <v>110375.27593818985</v>
      </c>
      <c r="U629" s="331">
        <v>-25</v>
      </c>
    </row>
    <row r="631" spans="1:32" x14ac:dyDescent="0.25">
      <c r="D631" s="307" t="s">
        <v>351</v>
      </c>
      <c r="E631" s="307" t="s">
        <v>352</v>
      </c>
    </row>
    <row r="632" spans="1:32" x14ac:dyDescent="0.25">
      <c r="A632" s="307" t="s">
        <v>324</v>
      </c>
      <c r="B632" s="307" t="s">
        <v>423</v>
      </c>
      <c r="C632" s="347">
        <f>pole1</f>
        <v>469.49090856909527</v>
      </c>
      <c r="D632" s="347">
        <f>U622</f>
        <v>55.196065656439579</v>
      </c>
      <c r="E632" s="347">
        <f>AE622</f>
        <v>25.655379216040082</v>
      </c>
    </row>
    <row r="633" spans="1:32" x14ac:dyDescent="0.25">
      <c r="A633" s="307" t="s">
        <v>319</v>
      </c>
      <c r="B633" s="307" t="s">
        <v>433</v>
      </c>
      <c r="C633" s="347">
        <f>Zero1</f>
        <v>397887.35818439093</v>
      </c>
      <c r="D633" s="347">
        <f>U623</f>
        <v>-43.332301158692914</v>
      </c>
      <c r="E633" s="347">
        <f>AE623</f>
        <v>-38.161303966607491</v>
      </c>
    </row>
    <row r="634" spans="1:32" x14ac:dyDescent="0.25">
      <c r="A634" s="307" t="s">
        <v>327</v>
      </c>
      <c r="B634" s="307" t="s">
        <v>434</v>
      </c>
      <c r="C634" s="347">
        <f>Pole2</f>
        <v>3.0305329858129837</v>
      </c>
      <c r="D634" s="347">
        <f>U624</f>
        <v>98.946511582541575</v>
      </c>
      <c r="E634" s="347">
        <f>AE624</f>
        <v>28.665477697079499</v>
      </c>
    </row>
    <row r="635" spans="1:32" x14ac:dyDescent="0.25">
      <c r="A635" s="307" t="s">
        <v>322</v>
      </c>
      <c r="B635" s="307" t="s">
        <v>435</v>
      </c>
      <c r="C635" s="347">
        <f>Zero2</f>
        <v>4284.5782392116616</v>
      </c>
      <c r="D635" s="347">
        <f>U625</f>
        <v>22.692407568139565</v>
      </c>
      <c r="E635" s="347">
        <f>AE625</f>
        <v>9.4099140195640647</v>
      </c>
    </row>
    <row r="636" spans="1:32" x14ac:dyDescent="0.25">
      <c r="A636" s="307" t="s">
        <v>320</v>
      </c>
      <c r="B636" s="307" t="s">
        <v>432</v>
      </c>
      <c r="C636" s="307">
        <f>pole3</f>
        <v>202840</v>
      </c>
      <c r="D636" s="347">
        <f>U626</f>
        <v>-23.658800446701523</v>
      </c>
      <c r="E636" s="347">
        <f>AE626</f>
        <v>-24.432987991059456</v>
      </c>
    </row>
    <row r="637" spans="1:32" x14ac:dyDescent="0.25">
      <c r="C637" s="393"/>
      <c r="D637" s="347"/>
      <c r="E637" s="347"/>
    </row>
    <row r="639" spans="1:32" x14ac:dyDescent="0.25">
      <c r="A639" s="347">
        <f>U4*1000</f>
        <v>38462</v>
      </c>
    </row>
    <row r="640" spans="1:32" x14ac:dyDescent="0.25">
      <c r="A640" s="347">
        <f>U4*1000</f>
        <v>38462</v>
      </c>
    </row>
    <row r="687" spans="34:35" x14ac:dyDescent="0.25">
      <c r="AH687" t="s">
        <v>44</v>
      </c>
      <c r="AI687" s="4">
        <f>SUM(AI689:AI1306)</f>
        <v>0</v>
      </c>
    </row>
  </sheetData>
  <mergeCells count="24">
    <mergeCell ref="AB10:AC10"/>
    <mergeCell ref="AE10:AF10"/>
    <mergeCell ref="C11:D11"/>
    <mergeCell ref="E11:F11"/>
    <mergeCell ref="I11:J11"/>
    <mergeCell ref="K11:L11"/>
    <mergeCell ref="M11:N11"/>
    <mergeCell ref="S11:T11"/>
    <mergeCell ref="O11:P11"/>
    <mergeCell ref="Q11:R11"/>
    <mergeCell ref="B10:B11"/>
    <mergeCell ref="A2:D2"/>
    <mergeCell ref="J2:L2"/>
    <mergeCell ref="A10:A12"/>
    <mergeCell ref="S10:T10"/>
    <mergeCell ref="T2:V2"/>
    <mergeCell ref="G11:H11"/>
    <mergeCell ref="E2:G2"/>
    <mergeCell ref="C10:H10"/>
    <mergeCell ref="I10:N10"/>
    <mergeCell ref="U10:W10"/>
    <mergeCell ref="O10:R10"/>
    <mergeCell ref="M2:O2"/>
    <mergeCell ref="P2:S2"/>
  </mergeCells>
  <pageMargins left="0.75" right="0.75" top="1" bottom="1" header="0.5" footer="0.5"/>
  <pageSetup scale="48" orientation="portrait" horizontalDpi="300" verticalDpi="300" r:id="rId1"/>
  <headerFooter alignWithMargins="0"/>
  <colBreaks count="1" manualBreakCount="1">
    <brk id="23" max="1048575" man="1"/>
  </colBreaks>
  <ignoredErrors>
    <ignoredError sqref="F13 A628"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N9"/>
  <sheetViews>
    <sheetView topLeftCell="A7" zoomScaleNormal="100" workbookViewId="0">
      <selection activeCell="B19" sqref="B19"/>
    </sheetView>
  </sheetViews>
  <sheetFormatPr defaultRowHeight="12.5" x14ac:dyDescent="0.25"/>
  <cols>
    <col min="1" max="1" width="10.54296875" customWidth="1"/>
    <col min="2" max="2" width="129.36328125" customWidth="1"/>
  </cols>
  <sheetData>
    <row r="1" spans="1:14" x14ac:dyDescent="0.25">
      <c r="J1" s="113" t="s">
        <v>590</v>
      </c>
      <c r="N1" s="113" t="s">
        <v>592</v>
      </c>
    </row>
    <row r="2" spans="1:14" x14ac:dyDescent="0.25">
      <c r="A2" t="str">
        <f>CHOOSE(BODE_PLOT_TYPE, "BODE_PLOT_Ch1", "BODE_PLOT_Ch2")</f>
        <v>BODE_PLOT_Ch1</v>
      </c>
      <c r="J2" s="113" t="s">
        <v>591</v>
      </c>
      <c r="N2" s="113" t="s">
        <v>682</v>
      </c>
    </row>
    <row r="3" spans="1:14" x14ac:dyDescent="0.25">
      <c r="J3" s="113" t="s">
        <v>589</v>
      </c>
    </row>
    <row r="4" spans="1:14" x14ac:dyDescent="0.25">
      <c r="J4" s="113" t="s">
        <v>588</v>
      </c>
    </row>
    <row r="5" spans="1:14" ht="409.5" customHeight="1" x14ac:dyDescent="0.25">
      <c r="B5" s="521"/>
    </row>
    <row r="6" spans="1:14" ht="12" customHeight="1" x14ac:dyDescent="0.25">
      <c r="B6" s="521"/>
      <c r="F6">
        <f ca="1">INDIRECT(A2)</f>
        <v>0</v>
      </c>
    </row>
    <row r="7" spans="1:14" ht="34.5" customHeight="1" x14ac:dyDescent="0.25"/>
    <row r="8" spans="1:14" ht="409.5" customHeight="1" x14ac:dyDescent="0.25">
      <c r="B8" s="521"/>
    </row>
    <row r="9" spans="1:14" x14ac:dyDescent="0.25">
      <c r="B9" s="521"/>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92D050"/>
  </sheetPr>
  <dimension ref="A1:BM209"/>
  <sheetViews>
    <sheetView zoomScaleNormal="100" workbookViewId="0">
      <pane ySplit="8" topLeftCell="A33" activePane="bottomLeft" state="frozen"/>
      <selection activeCell="F1" sqref="F1"/>
      <selection pane="bottomLeft" activeCell="B67" sqref="B67"/>
    </sheetView>
  </sheetViews>
  <sheetFormatPr defaultRowHeight="12.5" x14ac:dyDescent="0.25"/>
  <cols>
    <col min="1" max="1" width="19.6328125" customWidth="1"/>
    <col min="2" max="2" width="13.08984375" bestFit="1" customWidth="1"/>
    <col min="4" max="4" width="74.54296875" customWidth="1"/>
    <col min="6" max="6" width="9.08984375" customWidth="1"/>
    <col min="7" max="7" width="6.6328125" customWidth="1"/>
    <col min="8" max="8" width="9.08984375" style="530"/>
    <col min="9" max="10" width="9.6328125" customWidth="1"/>
    <col min="11" max="11" width="8.08984375" customWidth="1"/>
    <col min="12" max="12" width="7.453125" customWidth="1"/>
    <col min="13" max="13" width="10.6328125" style="348" customWidth="1"/>
    <col min="14" max="16" width="8.6328125" style="4" customWidth="1"/>
    <col min="17" max="17" width="12.08984375" style="4" customWidth="1"/>
    <col min="18" max="18" width="8" style="4" customWidth="1"/>
    <col min="19" max="19" width="9.453125" style="300" customWidth="1"/>
    <col min="20" max="20" width="8" customWidth="1"/>
    <col min="21" max="21" width="9.36328125" customWidth="1"/>
    <col min="22" max="22" width="8.6328125" style="4" customWidth="1"/>
    <col min="23" max="23" width="9.6328125" customWidth="1"/>
    <col min="24" max="24" width="10.6328125" customWidth="1"/>
    <col min="25" max="25" width="9.6328125" style="300" customWidth="1"/>
    <col min="26" max="26" width="10.54296875" customWidth="1"/>
    <col min="28" max="29" width="8.54296875" customWidth="1"/>
    <col min="30" max="30" width="11.6328125" customWidth="1"/>
    <col min="31" max="31" width="12.6328125" customWidth="1"/>
    <col min="32" max="32" width="8" customWidth="1"/>
    <col min="33" max="33" width="9.6328125" customWidth="1"/>
    <col min="34" max="35" width="8.6328125" customWidth="1"/>
    <col min="36" max="36" width="10.54296875" customWidth="1"/>
    <col min="37" max="37" width="10.36328125" customWidth="1"/>
    <col min="38" max="38" width="13.6328125" customWidth="1"/>
    <col min="39" max="39" width="12" style="300" customWidth="1"/>
    <col min="40" max="40" width="11.54296875" customWidth="1"/>
    <col min="41" max="41" width="9.36328125" customWidth="1"/>
    <col min="42" max="43" width="10.453125" customWidth="1"/>
    <col min="44" max="44" width="14.6328125" customWidth="1"/>
    <col min="46" max="46" width="8.453125" style="4" customWidth="1"/>
    <col min="47" max="47" width="7.36328125" customWidth="1"/>
    <col min="48" max="48" width="10.08984375" style="9" customWidth="1"/>
    <col min="49" max="49" width="12.453125" style="366" customWidth="1"/>
    <col min="50" max="50" width="11.453125" style="366" customWidth="1"/>
    <col min="51" max="51" width="3.36328125" customWidth="1"/>
    <col min="52" max="52" width="7.6328125" style="348" customWidth="1"/>
    <col min="53" max="53" width="9.08984375" style="300"/>
    <col min="54" max="54" width="10.36328125" style="300" customWidth="1"/>
    <col min="55" max="55" width="12.08984375" style="300" customWidth="1"/>
    <col min="56" max="56" width="8.6328125" style="300" customWidth="1"/>
    <col min="57" max="57" width="7.6328125" customWidth="1"/>
    <col min="61" max="61" width="28.453125" customWidth="1"/>
    <col min="64" max="64" width="12.453125" bestFit="1" customWidth="1"/>
  </cols>
  <sheetData>
    <row r="1" spans="1:65" ht="12.75" customHeight="1" x14ac:dyDescent="0.25">
      <c r="A1" s="879" t="s">
        <v>675</v>
      </c>
      <c r="B1" s="879"/>
      <c r="C1" s="879"/>
      <c r="D1" s="879"/>
    </row>
    <row r="2" spans="1:65" ht="12.75" customHeight="1" x14ac:dyDescent="0.25">
      <c r="A2" s="879"/>
      <c r="B2" s="879"/>
      <c r="C2" s="879"/>
      <c r="D2" s="879"/>
      <c r="H2" s="535">
        <f>AV19</f>
        <v>0.62671947331783895</v>
      </c>
      <c r="I2" s="113" t="s">
        <v>580</v>
      </c>
      <c r="J2" s="113"/>
      <c r="AK2" s="113"/>
    </row>
    <row r="3" spans="1:65" ht="12.75" customHeight="1" x14ac:dyDescent="0.25">
      <c r="A3" s="879"/>
      <c r="B3" s="879"/>
      <c r="C3" s="879"/>
      <c r="D3" s="879"/>
      <c r="H3" s="535">
        <f>AV59</f>
        <v>0.84165906630526188</v>
      </c>
      <c r="I3" s="113" t="s">
        <v>582</v>
      </c>
      <c r="J3" s="113"/>
      <c r="AK3" s="113"/>
      <c r="AP3">
        <f>IF(MODE=1, (Qg_Q1+Qg_Q2)*Fsw*Vin, (Qg_Q1+Qg_Q2+Qg_Q3+Qg_Q4)*Fsw*Vin)</f>
        <v>8.8357103999999992E-2</v>
      </c>
    </row>
    <row r="4" spans="1:65" ht="12.75" customHeight="1" x14ac:dyDescent="0.25">
      <c r="A4" s="879"/>
      <c r="B4" s="879"/>
      <c r="C4" s="879"/>
      <c r="D4" s="879"/>
      <c r="H4" s="535">
        <f>AV109</f>
        <v>0.88762054025881421</v>
      </c>
      <c r="I4" s="113" t="s">
        <v>581</v>
      </c>
      <c r="J4" s="113"/>
      <c r="AK4" s="113"/>
      <c r="AO4" s="113" t="s">
        <v>710</v>
      </c>
      <c r="AP4">
        <f>(Qg_Q1+Qg_Q2)*Fsw*1000</f>
        <v>13.387439999999998</v>
      </c>
      <c r="AQ4" s="113" t="s">
        <v>64</v>
      </c>
      <c r="AR4">
        <f>AP4*5/1000</f>
        <v>6.6937199999999988E-2</v>
      </c>
    </row>
    <row r="5" spans="1:65" ht="13" x14ac:dyDescent="0.3">
      <c r="A5" s="10"/>
      <c r="B5" s="11"/>
      <c r="C5" s="6"/>
      <c r="D5" s="6"/>
    </row>
    <row r="6" spans="1:65" ht="13.5" customHeight="1" thickBot="1" x14ac:dyDescent="0.3">
      <c r="A6" s="880" t="s">
        <v>458</v>
      </c>
      <c r="B6" s="880"/>
      <c r="C6" s="880"/>
      <c r="D6" s="880"/>
    </row>
    <row r="7" spans="1:65" ht="13.5" thickBot="1" x14ac:dyDescent="0.35">
      <c r="A7" s="880"/>
      <c r="B7" s="880"/>
      <c r="C7" s="880"/>
      <c r="D7" s="880"/>
      <c r="G7" s="876" t="s">
        <v>574</v>
      </c>
      <c r="H7" s="877"/>
      <c r="I7" s="877"/>
      <c r="J7" s="877"/>
      <c r="K7" s="877"/>
      <c r="L7" s="877"/>
      <c r="M7" s="877"/>
      <c r="N7" s="878"/>
      <c r="O7" s="591"/>
      <c r="P7" s="591"/>
      <c r="Q7" s="591"/>
      <c r="R7" s="876" t="s">
        <v>469</v>
      </c>
      <c r="S7" s="877"/>
      <c r="T7" s="877"/>
      <c r="U7" s="878"/>
      <c r="V7" s="881" t="s">
        <v>25</v>
      </c>
      <c r="W7" s="882"/>
      <c r="X7" s="883"/>
      <c r="Y7" s="876" t="s">
        <v>57</v>
      </c>
      <c r="Z7" s="877"/>
      <c r="AA7" s="878"/>
      <c r="AB7" s="876" t="s">
        <v>571</v>
      </c>
      <c r="AC7" s="877"/>
      <c r="AD7" s="877"/>
      <c r="AE7" s="877"/>
      <c r="AF7" s="877"/>
      <c r="AG7" s="878"/>
      <c r="AH7" s="876" t="s">
        <v>572</v>
      </c>
      <c r="AI7" s="877"/>
      <c r="AJ7" s="877"/>
      <c r="AK7" s="878"/>
      <c r="AL7" s="453" t="s">
        <v>198</v>
      </c>
      <c r="AM7" s="455" t="s">
        <v>445</v>
      </c>
      <c r="AN7" s="454" t="s">
        <v>487</v>
      </c>
      <c r="AO7" s="885" t="s">
        <v>476</v>
      </c>
      <c r="AP7" s="886"/>
      <c r="AQ7" s="886"/>
      <c r="AR7" s="887"/>
      <c r="AS7" s="888"/>
      <c r="AT7" s="876" t="s">
        <v>484</v>
      </c>
      <c r="AU7" s="877"/>
      <c r="AV7" s="877"/>
      <c r="AW7" s="877"/>
      <c r="AX7" s="877"/>
      <c r="AY7" s="527"/>
      <c r="AZ7" s="884" t="s">
        <v>485</v>
      </c>
      <c r="BA7" s="884"/>
      <c r="BB7" s="884"/>
      <c r="BC7" s="884"/>
      <c r="BD7" s="884"/>
      <c r="BE7" s="884"/>
    </row>
    <row r="8" spans="1:65" ht="65.5" thickBot="1" x14ac:dyDescent="0.65">
      <c r="A8" s="569" t="s">
        <v>108</v>
      </c>
      <c r="B8" s="13"/>
      <c r="C8" s="13"/>
      <c r="D8" s="6"/>
      <c r="G8" s="438" t="s">
        <v>53</v>
      </c>
      <c r="H8" s="522" t="s">
        <v>3</v>
      </c>
      <c r="I8" s="522" t="s">
        <v>573</v>
      </c>
      <c r="J8" s="522" t="s">
        <v>5</v>
      </c>
      <c r="K8" s="439" t="s">
        <v>679</v>
      </c>
      <c r="L8" s="439" t="s">
        <v>294</v>
      </c>
      <c r="M8" s="450" t="s">
        <v>575</v>
      </c>
      <c r="N8" s="524" t="s">
        <v>470</v>
      </c>
      <c r="O8" s="592" t="s">
        <v>723</v>
      </c>
      <c r="P8" s="592" t="s">
        <v>724</v>
      </c>
      <c r="Q8" s="592" t="s">
        <v>725</v>
      </c>
      <c r="R8" s="523" t="s">
        <v>570</v>
      </c>
      <c r="S8" s="452" t="s">
        <v>87</v>
      </c>
      <c r="T8" s="439" t="s">
        <v>569</v>
      </c>
      <c r="U8" s="440" t="s">
        <v>505</v>
      </c>
      <c r="V8" s="523" t="s">
        <v>472</v>
      </c>
      <c r="W8" s="441" t="s">
        <v>471</v>
      </c>
      <c r="X8" s="440" t="s">
        <v>504</v>
      </c>
      <c r="Y8" s="451" t="s">
        <v>473</v>
      </c>
      <c r="Z8" s="439" t="s">
        <v>474</v>
      </c>
      <c r="AA8" s="440" t="s">
        <v>502</v>
      </c>
      <c r="AB8" s="438" t="s">
        <v>84</v>
      </c>
      <c r="AC8" s="439" t="s">
        <v>475</v>
      </c>
      <c r="AD8" s="439" t="s">
        <v>721</v>
      </c>
      <c r="AE8" s="593" t="s">
        <v>722</v>
      </c>
      <c r="AF8" s="442" t="s">
        <v>199</v>
      </c>
      <c r="AG8" s="440" t="s">
        <v>567</v>
      </c>
      <c r="AH8" s="438" t="s">
        <v>84</v>
      </c>
      <c r="AI8" s="439" t="s">
        <v>475</v>
      </c>
      <c r="AJ8" s="439" t="s">
        <v>478</v>
      </c>
      <c r="AK8" s="443" t="s">
        <v>568</v>
      </c>
      <c r="AL8" s="440" t="s">
        <v>478</v>
      </c>
      <c r="AM8" s="456" t="s">
        <v>93</v>
      </c>
      <c r="AN8" s="457" t="s">
        <v>486</v>
      </c>
      <c r="AO8" s="444" t="s">
        <v>479</v>
      </c>
      <c r="AP8" s="445" t="s">
        <v>135</v>
      </c>
      <c r="AQ8" s="446" t="s">
        <v>201</v>
      </c>
      <c r="AR8" s="445" t="s">
        <v>711</v>
      </c>
      <c r="AS8" s="447" t="s">
        <v>477</v>
      </c>
      <c r="AT8" s="448" t="s">
        <v>54</v>
      </c>
      <c r="AU8" s="439" t="s">
        <v>284</v>
      </c>
      <c r="AV8" s="449" t="s">
        <v>481</v>
      </c>
      <c r="AW8" s="533" t="str">
        <f>IF(Vin&gt;Vout, "Buck ''CONTROL'' MOSFET Temp Rise", "Boost ''CONTROL'' MOSFET Temp Rise")</f>
        <v>Buck ''CONTROL'' MOSFET Temp Rise</v>
      </c>
      <c r="AX8" s="533" t="str">
        <f>IF(Vin&gt;Vout, "Buck ''SYNC'' MOSFET Temp Rise", "Boost ''SYNC'' MOSFET Temp Rise")</f>
        <v>Buck ''SYNC'' MOSFET Temp Rise</v>
      </c>
      <c r="AZ8" s="528" t="s">
        <v>480</v>
      </c>
      <c r="BA8" s="529" t="s">
        <v>503</v>
      </c>
      <c r="BB8" s="529" t="s">
        <v>576</v>
      </c>
      <c r="BC8" s="529" t="s">
        <v>673</v>
      </c>
      <c r="BD8" s="529" t="s">
        <v>674</v>
      </c>
      <c r="BE8" s="529" t="s">
        <v>551</v>
      </c>
      <c r="BF8" s="529"/>
    </row>
    <row r="9" spans="1:65" ht="13" x14ac:dyDescent="0.3">
      <c r="A9" s="14" t="s">
        <v>55</v>
      </c>
      <c r="B9" s="15" t="s">
        <v>111</v>
      </c>
      <c r="C9" s="16" t="s">
        <v>76</v>
      </c>
      <c r="D9" s="17" t="s">
        <v>107</v>
      </c>
      <c r="G9">
        <v>0</v>
      </c>
      <c r="H9" s="531">
        <f t="shared" ref="H9:H40" si="0">Vin</f>
        <v>6.6</v>
      </c>
      <c r="I9" s="4">
        <f t="shared" ref="I9:I40" si="1">MODE</f>
        <v>1</v>
      </c>
      <c r="J9">
        <v>0</v>
      </c>
      <c r="K9" s="348">
        <f t="shared" ref="K9:K40" si="2">Iout*G9/100/Number_of_Phases</f>
        <v>0</v>
      </c>
      <c r="L9" s="4">
        <f t="shared" ref="L9:L40" si="3">Vout*K9/(Vin*Efficiency)</f>
        <v>0</v>
      </c>
      <c r="M9" s="348">
        <f t="shared" ref="M9:M40" si="4">(Vout+(Rdson2+Rs+Rdcr)*K9)/(Vin+(Rs+Rdson2-Rdson1)*K9)</f>
        <v>0.5</v>
      </c>
      <c r="N9" s="4">
        <f t="shared" ref="N9:N40" si="5">(Vin-(Rdson1+Rdcr)*K9-Vout)*M9/(Fsw*Lf)</f>
        <v>0.59812428225086123</v>
      </c>
      <c r="O9" s="4">
        <f>K9+N9/2</f>
        <v>0.29906214112543061</v>
      </c>
      <c r="P9" s="4">
        <f>K9-N9/2</f>
        <v>-0.29906214112543061</v>
      </c>
      <c r="Q9" s="4">
        <f t="shared" ref="Q9:Q40" si="6">IF(MIN(Vin, -P9/(Coss_Q1+Coss_Q2)*0.00000002)&lt;0, 0, MIN(Vin, -P9/(Coss_Q1+Coss_Q2)*0.00000002))</f>
        <v>6.6</v>
      </c>
      <c r="R9" s="4">
        <f>SQRT(K9^2+(N9^2)/12)</f>
        <v>0.17266360768319322</v>
      </c>
      <c r="S9" s="348">
        <f t="shared" ref="S9:S40" si="7">R9^2*Rdcr</f>
        <v>1.0434452496361482E-4</v>
      </c>
      <c r="T9" s="348">
        <f t="shared" ref="T9:T40" si="8">Core_Loss_Ch1</f>
        <v>0.2</v>
      </c>
      <c r="U9" s="348">
        <f t="shared" ref="U9:U40" si="9">(T9+S9*(1+Ltc*(Ta-25)))/(1-S9*Ltc*ThetaCa)</f>
        <v>0.20010601492232918</v>
      </c>
      <c r="V9" s="4">
        <f>N9/SQRT(12)</f>
        <v>0.17266360768319322</v>
      </c>
      <c r="W9" s="348">
        <f t="shared" ref="W9:W73" si="10">RCoutEsr*V9^2</f>
        <v>5.9625442836351321E-5</v>
      </c>
      <c r="X9" s="348">
        <f>W9</f>
        <v>5.9625442836351321E-5</v>
      </c>
      <c r="Y9" s="4">
        <f>SQRT(M9*(1-M9))*SQRT(K9^2+(N9^2)/12)</f>
        <v>8.633180384159661E-2</v>
      </c>
      <c r="Z9" s="348">
        <f t="shared" ref="Z9:Z73" si="11">RCinEsr*Y9^2</f>
        <v>7.4531803545439152E-6</v>
      </c>
      <c r="AA9" s="525">
        <f>Z9</f>
        <v>7.4531803545439152E-6</v>
      </c>
      <c r="AB9" s="348">
        <f>SQRT(M9)*SQRT(K9^2+(N9^2)/12)</f>
        <v>0.12209160785691961</v>
      </c>
      <c r="AC9" s="348">
        <f t="shared" ref="AC9:AC40" si="12">Rdson1*AB9^2</f>
        <v>1.7887632850905401E-4</v>
      </c>
      <c r="AD9" s="348">
        <f t="shared" ref="AD9:AD40" si="13">(Vin*K9/2)*Fsw*(Tr_buck+Tf_buck)</f>
        <v>0</v>
      </c>
      <c r="AE9" s="348">
        <f t="shared" ref="AE9:AE40" si="14">(0.5*Coss_Q1*(Vin-Q9)^2-0.5*Coss_Q2*(Vin-Q9)^2+(Qoss_Q2*(Vin-Q9)/Vin)*Vin)*Fsw</f>
        <v>0</v>
      </c>
      <c r="AF9" s="348">
        <f t="shared" ref="AF9:AF40" si="15">IF(K9&gt;N9/2,0,ABS(K9-N9/2)*Vsd_Q1*Deadtime*Fsw)</f>
        <v>1.1889705882352939E-3</v>
      </c>
      <c r="AG9" s="348">
        <f t="shared" ref="AG9:AG40" si="16">(AF9+AE9+AD9+AC9*(1+RdsonTopTc*Ta-RdsonTopTc*25))/(1-AC9*RdsonTopTc*ThetaJA_Q1)</f>
        <v>1.3678880234526392E-3</v>
      </c>
      <c r="AH9" s="348">
        <f t="shared" ref="AH9:AH40" si="17">SQRT((1-M9))*SQRT(K9^2+(N9^2)/12)</f>
        <v>0.12209160785691961</v>
      </c>
      <c r="AI9" s="348">
        <f t="shared" ref="AI9:AI40" si="18">Rdson2*AH9^2</f>
        <v>6.1116078907260109E-5</v>
      </c>
      <c r="AJ9" s="348">
        <f t="shared" ref="AJ9:AJ40" si="19">IF(K9&lt;N9/2,Deadtime*Fsw*IF(VfdSky_Q2&gt;0,0,Vsd_Q2)*(K9+N9/2),2*Deadtime*Fsw*IF(VfdSky_Q2&gt;0,0,Vsd_Q2)*K9)</f>
        <v>1.1889705882352937E-3</v>
      </c>
      <c r="AK9" s="348">
        <f t="shared" ref="AK9:AK40" si="20">(AJ9+AI9*(1+RdsonBotTc*Ta-RdsonBotTc*25))/(1-AI9*RdsonBotTc*ThetaJA_Q2)</f>
        <v>1.2500991052506786E-3</v>
      </c>
      <c r="AL9" s="348">
        <f t="shared" ref="AL9:AL40" si="21">2*Deadtime*Fsw*IF(VfdSky_Q2&gt;0,VfdSky_Q2,Vsd_Q2)*K9</f>
        <v>0</v>
      </c>
      <c r="AM9" s="348">
        <f t="shared" ref="AM9:AM40" si="22">IF(QrrSky_Q2&gt;0,QrrSky_Q2,Qrr_Q2*K9/(Iout/Number_of_Phases))*Fsw*Vin</f>
        <v>0</v>
      </c>
      <c r="AN9" s="348">
        <f t="shared" ref="AN9:AN40" si="23">Rs*R9^2</f>
        <v>7.4531803545439161E-4</v>
      </c>
      <c r="AO9" s="348">
        <f t="shared" ref="AO9:AO40" si="24">Iq*Vin</f>
        <v>1.452E-5</v>
      </c>
      <c r="AP9" s="348">
        <f t="shared" ref="AP9:AP40" si="25">IF(Ext_VCC=1,  (Qg_Q1+Qg_Q2)*Fsw*VCC, (Qg_Q1+Qg_Q2)*Fsw*Vin)</f>
        <v>6.6937199999999988E-2</v>
      </c>
      <c r="AQ9" s="348">
        <f t="shared" ref="AQ9:AQ72" si="26">(Vin-VCC)*Fsw*(Qg_Q1+Qg_Q2)+(RdsonDRT+RdsonDRT2)*Fsw*Qg_Q1*VCC/(RdsonDRT+2*Rgate1+RdsonDRT2)+(RdsonDRB+RdsonDRB2)*Fsw*Qg_Q2*VCC/(RdsonDRB+2*Rgate2+RdsonDRB2)</f>
        <v>4.7164980923076916E-2</v>
      </c>
      <c r="AR9" s="348">
        <f t="shared" ref="AR9:AR40" si="27">(Qg_Q1+Qg_Q2)*Fsw*(Vin-VCC)</f>
        <v>2.1419903999999993E-2</v>
      </c>
      <c r="AS9" s="348">
        <f t="shared" ref="AS9:AS40" si="28">SUM(AO9:AP9)</f>
        <v>6.6951719999999992E-2</v>
      </c>
      <c r="AT9" s="348">
        <f t="shared" ref="AT9:AT40" si="29" xml:space="preserve"> SUM(U9,X9,AA9,AG9,AK9,AL9,AM9,AS9,AN9)</f>
        <v>0.27048811870967782</v>
      </c>
      <c r="AU9">
        <f t="shared" ref="AU9:AU40" si="30">Vout*K9</f>
        <v>0</v>
      </c>
      <c r="AV9" s="526">
        <f>AU9/(AU9+AT9)</f>
        <v>0</v>
      </c>
      <c r="AW9" s="534">
        <f t="shared" ref="AW9:AW40" si="31">ThetaJA_Q1*BC9</f>
        <v>5.7451296985010843E-2</v>
      </c>
      <c r="AX9" s="534">
        <f t="shared" ref="AX9:AX40" si="32">ThetaJA_Q2*BD9</f>
        <v>5.0879033583702618E-2</v>
      </c>
      <c r="AZ9" s="4">
        <f>AV9*100</f>
        <v>0</v>
      </c>
      <c r="BA9" s="348">
        <f t="shared" ref="BA9:BA40" si="33">U9</f>
        <v>0.20010601492232918</v>
      </c>
      <c r="BB9" s="348">
        <f t="shared" ref="BB9:BB40" si="34">AG9+AK9+AM9</f>
        <v>2.6179871287033175E-3</v>
      </c>
      <c r="BC9" s="348">
        <f t="shared" ref="BC9:BC40" si="35">AG9+AM9*0.66</f>
        <v>1.3678880234526392E-3</v>
      </c>
      <c r="BD9" s="348">
        <f t="shared" ref="BD9:BD40" si="36">AK9+AM9*0.33</f>
        <v>1.2500991052506786E-3</v>
      </c>
      <c r="BE9" s="348">
        <f t="shared" ref="BE9:BE40" si="37">AN9</f>
        <v>7.4531803545439161E-4</v>
      </c>
      <c r="BJ9" s="18"/>
      <c r="BK9" s="18"/>
      <c r="BL9" s="18"/>
      <c r="BM9" s="19"/>
    </row>
    <row r="10" spans="1:65" ht="13" x14ac:dyDescent="0.3">
      <c r="A10" s="479"/>
      <c r="B10" s="24"/>
      <c r="C10" s="16"/>
      <c r="D10" s="17"/>
      <c r="G10">
        <v>1</v>
      </c>
      <c r="H10" s="531">
        <f t="shared" si="0"/>
        <v>6.6</v>
      </c>
      <c r="I10" s="4">
        <f t="shared" si="1"/>
        <v>1</v>
      </c>
      <c r="J10" s="348">
        <f t="shared" ref="J10:J41" si="38">Iout*G10/100</f>
        <v>1.4999999999999999E-2</v>
      </c>
      <c r="K10" s="348">
        <f t="shared" si="2"/>
        <v>1.4999999999999999E-2</v>
      </c>
      <c r="L10" s="4">
        <f t="shared" si="3"/>
        <v>8.3333333333333332E-3</v>
      </c>
      <c r="M10" s="348">
        <f t="shared" si="4"/>
        <v>0.50005465696674056</v>
      </c>
      <c r="N10" s="4">
        <f t="shared" si="5"/>
        <v>0.59814752038788133</v>
      </c>
      <c r="O10" s="4">
        <f t="shared" ref="O10:O73" si="39">K10+N10/2</f>
        <v>0.31407376019394068</v>
      </c>
      <c r="P10" s="4">
        <f t="shared" ref="P10:P73" si="40">K10-N10/2</f>
        <v>-0.28407376019394065</v>
      </c>
      <c r="Q10" s="4">
        <f t="shared" si="6"/>
        <v>6.6</v>
      </c>
      <c r="R10" s="4">
        <f t="shared" ref="R10:R73" si="41">SQRT(K10^2+(N10^2)/12)</f>
        <v>0.17332062200494466</v>
      </c>
      <c r="S10" s="348">
        <f t="shared" si="7"/>
        <v>1.0514013304263317E-4</v>
      </c>
      <c r="T10" s="348">
        <f t="shared" si="8"/>
        <v>0.2</v>
      </c>
      <c r="U10" s="348">
        <f t="shared" si="9"/>
        <v>0.2001068232736844</v>
      </c>
      <c r="V10" s="4">
        <f t="shared" ref="V10:V73" si="42">N10/SQRT(12)</f>
        <v>0.17267031595552523</v>
      </c>
      <c r="W10" s="348">
        <f t="shared" si="10"/>
        <v>5.9630076024361824E-5</v>
      </c>
      <c r="X10" s="348">
        <f t="shared" ref="X10:X73" si="43">W10</f>
        <v>5.9630076024361824E-5</v>
      </c>
      <c r="Y10" s="4">
        <f t="shared" ref="Y10:Y73" si="44">SQRT(M10*(1-M10))*SQRT(K10^2+(N10^2)/12)</f>
        <v>8.6660310484697078E-2</v>
      </c>
      <c r="Z10" s="348">
        <f t="shared" si="11"/>
        <v>7.5100094133040986E-6</v>
      </c>
      <c r="AA10" s="525">
        <f t="shared" ref="AA10:AA73" si="45">Z10</f>
        <v>7.5100094133040986E-6</v>
      </c>
      <c r="AB10" s="348">
        <f t="shared" ref="AB10:AB73" si="46">SQRT(M10)*SQRT(K10^2+(N10^2)/12)</f>
        <v>0.12256288550555984</v>
      </c>
      <c r="AC10" s="348">
        <f t="shared" si="12"/>
        <v>1.8025993084138766E-4</v>
      </c>
      <c r="AD10" s="348">
        <f t="shared" si="13"/>
        <v>1.5355481904408443E-4</v>
      </c>
      <c r="AE10" s="348">
        <f t="shared" si="14"/>
        <v>0</v>
      </c>
      <c r="AF10" s="348">
        <f t="shared" si="15"/>
        <v>1.1293818217476828E-3</v>
      </c>
      <c r="AG10" s="348">
        <f t="shared" si="16"/>
        <v>1.4632408839348459E-3</v>
      </c>
      <c r="AH10" s="348">
        <f t="shared" si="17"/>
        <v>0.12254948840665121</v>
      </c>
      <c r="AI10" s="348">
        <f t="shared" si="18"/>
        <v>6.1575346145800939E-5</v>
      </c>
      <c r="AJ10" s="348">
        <f t="shared" si="19"/>
        <v>1.2486517417476827E-3</v>
      </c>
      <c r="AK10" s="348">
        <f t="shared" si="20"/>
        <v>1.3102402223525065E-3</v>
      </c>
      <c r="AL10" s="348">
        <f t="shared" si="21"/>
        <v>1.1926991999999998E-4</v>
      </c>
      <c r="AM10" s="348">
        <f t="shared" si="22"/>
        <v>1.5797179199999996E-3</v>
      </c>
      <c r="AN10" s="348">
        <f t="shared" si="23"/>
        <v>7.5100095030452272E-4</v>
      </c>
      <c r="AO10" s="348">
        <f t="shared" si="24"/>
        <v>1.452E-5</v>
      </c>
      <c r="AP10" s="348">
        <f t="shared" si="25"/>
        <v>6.6937199999999988E-2</v>
      </c>
      <c r="AQ10" s="348">
        <f t="shared" si="26"/>
        <v>4.7164980923076916E-2</v>
      </c>
      <c r="AR10" s="348">
        <f t="shared" si="27"/>
        <v>2.1419903999999993E-2</v>
      </c>
      <c r="AS10" s="348">
        <f t="shared" si="28"/>
        <v>6.6951719999999992E-2</v>
      </c>
      <c r="AT10" s="348">
        <f t="shared" si="29"/>
        <v>0.2723491532557139</v>
      </c>
      <c r="AU10">
        <f t="shared" si="30"/>
        <v>4.9499999999999995E-2</v>
      </c>
      <c r="AV10" s="526">
        <f t="shared" ref="AV10:AV73" si="47">AU10/(AU10+AT10)</f>
        <v>0.15379875789411046</v>
      </c>
      <c r="AW10" s="534">
        <f t="shared" si="31"/>
        <v>0.10524589786766352</v>
      </c>
      <c r="AX10" s="534">
        <f t="shared" si="32"/>
        <v>7.4543968433267022E-2</v>
      </c>
      <c r="AY10" s="9"/>
      <c r="AZ10" s="4">
        <f t="shared" ref="AZ10:AZ73" si="48">AV10*100</f>
        <v>15.379875789411045</v>
      </c>
      <c r="BA10" s="348">
        <f t="shared" si="33"/>
        <v>0.2001068232736844</v>
      </c>
      <c r="BB10" s="348">
        <f t="shared" si="34"/>
        <v>4.3531990262873519E-3</v>
      </c>
      <c r="BC10" s="348">
        <f t="shared" si="35"/>
        <v>2.5058547111348455E-3</v>
      </c>
      <c r="BD10" s="348">
        <f t="shared" si="36"/>
        <v>1.8315471359525064E-3</v>
      </c>
      <c r="BE10" s="348">
        <f t="shared" si="37"/>
        <v>7.5100095030452272E-4</v>
      </c>
      <c r="BJ10" s="18"/>
      <c r="BK10" s="18"/>
      <c r="BL10" s="18"/>
      <c r="BM10" s="19"/>
    </row>
    <row r="11" spans="1:65" x14ac:dyDescent="0.25">
      <c r="A11" s="20" t="s">
        <v>3</v>
      </c>
      <c r="B11" s="5">
        <f>Vin</f>
        <v>6.6</v>
      </c>
      <c r="C11" s="427" t="s">
        <v>0</v>
      </c>
      <c r="D11" s="21" t="s">
        <v>3</v>
      </c>
      <c r="G11">
        <v>2</v>
      </c>
      <c r="H11" s="531">
        <f t="shared" si="0"/>
        <v>6.6</v>
      </c>
      <c r="I11" s="4">
        <f t="shared" si="1"/>
        <v>1</v>
      </c>
      <c r="J11" s="348">
        <f t="shared" si="38"/>
        <v>0.03</v>
      </c>
      <c r="K11" s="348">
        <f t="shared" si="2"/>
        <v>0.03</v>
      </c>
      <c r="L11" s="4">
        <f t="shared" si="3"/>
        <v>1.6666666666666666E-2</v>
      </c>
      <c r="M11" s="348">
        <f t="shared" si="4"/>
        <v>0.5001093096854744</v>
      </c>
      <c r="N11" s="4">
        <f t="shared" si="5"/>
        <v>0.59817074423084171</v>
      </c>
      <c r="O11" s="4">
        <f t="shared" si="39"/>
        <v>0.32908537211542088</v>
      </c>
      <c r="P11" s="4">
        <f t="shared" si="40"/>
        <v>-0.26908537211542083</v>
      </c>
      <c r="Q11" s="4">
        <f t="shared" si="6"/>
        <v>6.6</v>
      </c>
      <c r="R11" s="4">
        <f t="shared" si="41"/>
        <v>0.17526366785828693</v>
      </c>
      <c r="S11" s="348">
        <f t="shared" si="7"/>
        <v>1.0751073644898971E-4</v>
      </c>
      <c r="T11" s="348">
        <f t="shared" si="8"/>
        <v>0.2</v>
      </c>
      <c r="U11" s="348">
        <f t="shared" si="9"/>
        <v>0.20010923184771989</v>
      </c>
      <c r="V11" s="4">
        <f t="shared" si="42"/>
        <v>0.17267702010151764</v>
      </c>
      <c r="W11" s="348">
        <f t="shared" si="10"/>
        <v>5.9634706542279854E-5</v>
      </c>
      <c r="X11" s="348">
        <f t="shared" si="43"/>
        <v>5.9634706542279854E-5</v>
      </c>
      <c r="Y11" s="4">
        <f t="shared" si="44"/>
        <v>8.7631831834986684E-2</v>
      </c>
      <c r="Z11" s="348">
        <f t="shared" si="11"/>
        <v>7.679337950755385E-6</v>
      </c>
      <c r="AA11" s="525">
        <f t="shared" si="45"/>
        <v>7.679337950755385E-6</v>
      </c>
      <c r="AB11" s="348">
        <f t="shared" si="46"/>
        <v>0.12394367406122281</v>
      </c>
      <c r="AC11" s="348">
        <f t="shared" si="12"/>
        <v>1.8434441207753564E-4</v>
      </c>
      <c r="AD11" s="348">
        <f t="shared" si="13"/>
        <v>3.0710963808816885E-4</v>
      </c>
      <c r="AE11" s="348">
        <f t="shared" si="14"/>
        <v>0</v>
      </c>
      <c r="AF11" s="348">
        <f t="shared" si="15"/>
        <v>1.0697930268458822E-3</v>
      </c>
      <c r="AG11" s="348">
        <f t="shared" si="16"/>
        <v>1.5612954301143949E-3</v>
      </c>
      <c r="AH11" s="348">
        <f t="shared" si="17"/>
        <v>0.12391658053442761</v>
      </c>
      <c r="AI11" s="348">
        <f t="shared" si="18"/>
        <v>6.2956807618515655E-5</v>
      </c>
      <c r="AJ11" s="348">
        <f t="shared" si="19"/>
        <v>1.3083328668458826E-3</v>
      </c>
      <c r="AK11" s="348">
        <f t="shared" si="20"/>
        <v>1.3713037294613456E-3</v>
      </c>
      <c r="AL11" s="348">
        <f t="shared" si="21"/>
        <v>2.3853983999999996E-4</v>
      </c>
      <c r="AM11" s="348">
        <f t="shared" si="22"/>
        <v>3.1594358399999992E-3</v>
      </c>
      <c r="AN11" s="348">
        <f t="shared" si="23"/>
        <v>7.6793383177849802E-4</v>
      </c>
      <c r="AO11" s="348">
        <f t="shared" si="24"/>
        <v>1.452E-5</v>
      </c>
      <c r="AP11" s="348">
        <f t="shared" si="25"/>
        <v>6.6937199999999988E-2</v>
      </c>
      <c r="AQ11" s="348">
        <f t="shared" si="26"/>
        <v>4.7164980923076916E-2</v>
      </c>
      <c r="AR11" s="348">
        <f t="shared" si="27"/>
        <v>2.1419903999999993E-2</v>
      </c>
      <c r="AS11" s="348">
        <f t="shared" si="28"/>
        <v>6.6951719999999992E-2</v>
      </c>
      <c r="AT11" s="348">
        <f t="shared" si="29"/>
        <v>0.27422677456356714</v>
      </c>
      <c r="AU11">
        <f t="shared" si="30"/>
        <v>9.8999999999999991E-2</v>
      </c>
      <c r="AV11" s="526">
        <f t="shared" si="47"/>
        <v>0.26525428170517962</v>
      </c>
      <c r="AW11" s="534">
        <f t="shared" si="31"/>
        <v>0.15315396954960458</v>
      </c>
      <c r="AX11" s="534">
        <f t="shared" si="32"/>
        <v>9.8246444556116766E-2</v>
      </c>
      <c r="AY11" s="9"/>
      <c r="AZ11" s="4">
        <f t="shared" si="48"/>
        <v>26.525428170517962</v>
      </c>
      <c r="BA11" s="348">
        <f t="shared" si="33"/>
        <v>0.20010923184771989</v>
      </c>
      <c r="BB11" s="348">
        <f t="shared" si="34"/>
        <v>6.0920349995757395E-3</v>
      </c>
      <c r="BC11" s="348">
        <f t="shared" si="35"/>
        <v>3.6465230845143947E-3</v>
      </c>
      <c r="BD11" s="348">
        <f t="shared" si="36"/>
        <v>2.4139175566613453E-3</v>
      </c>
      <c r="BE11" s="348">
        <f t="shared" si="37"/>
        <v>7.6793383177849802E-4</v>
      </c>
      <c r="BJ11" s="18"/>
      <c r="BK11" s="18"/>
      <c r="BL11" s="18"/>
      <c r="BM11" s="19"/>
    </row>
    <row r="12" spans="1:65" x14ac:dyDescent="0.25">
      <c r="A12" s="22" t="s">
        <v>4</v>
      </c>
      <c r="B12" s="5">
        <f>Vout</f>
        <v>3.3</v>
      </c>
      <c r="C12" s="427" t="s">
        <v>0</v>
      </c>
      <c r="D12" s="21" t="s">
        <v>4</v>
      </c>
      <c r="G12">
        <v>3</v>
      </c>
      <c r="H12" s="531">
        <f t="shared" si="0"/>
        <v>6.6</v>
      </c>
      <c r="I12" s="4">
        <f t="shared" si="1"/>
        <v>1</v>
      </c>
      <c r="J12" s="348">
        <f t="shared" si="38"/>
        <v>4.4999999999999998E-2</v>
      </c>
      <c r="K12" s="348">
        <f t="shared" si="2"/>
        <v>4.4999999999999998E-2</v>
      </c>
      <c r="L12" s="4">
        <f t="shared" si="3"/>
        <v>2.5000000000000001E-2</v>
      </c>
      <c r="M12" s="348">
        <f t="shared" si="4"/>
        <v>0.50016395815669679</v>
      </c>
      <c r="N12" s="4">
        <f t="shared" si="5"/>
        <v>0.59819395378140872</v>
      </c>
      <c r="O12" s="4">
        <f t="shared" si="39"/>
        <v>0.34409697689070434</v>
      </c>
      <c r="P12" s="4">
        <f t="shared" si="40"/>
        <v>-0.25409697689070437</v>
      </c>
      <c r="Q12" s="4">
        <f t="shared" si="6"/>
        <v>6.6</v>
      </c>
      <c r="R12" s="4">
        <f t="shared" si="41"/>
        <v>0.17845074164892913</v>
      </c>
      <c r="S12" s="348">
        <f t="shared" si="7"/>
        <v>1.1145633518268498E-4</v>
      </c>
      <c r="T12" s="348">
        <f t="shared" si="8"/>
        <v>0.2</v>
      </c>
      <c r="U12" s="348">
        <f t="shared" si="9"/>
        <v>0.2001132406462566</v>
      </c>
      <c r="V12" s="4">
        <f t="shared" si="42"/>
        <v>0.17268372012165145</v>
      </c>
      <c r="W12" s="348">
        <f t="shared" si="10"/>
        <v>5.9639334390105703E-5</v>
      </c>
      <c r="X12" s="348">
        <f t="shared" si="43"/>
        <v>5.9639334390105703E-5</v>
      </c>
      <c r="Y12" s="4">
        <f t="shared" si="44"/>
        <v>8.9225366027302133E-2</v>
      </c>
      <c r="Z12" s="348">
        <f t="shared" si="11"/>
        <v>7.9611659427060405E-6</v>
      </c>
      <c r="AA12" s="525">
        <f t="shared" si="45"/>
        <v>7.9611659427060405E-6</v>
      </c>
      <c r="AB12" s="348">
        <f t="shared" si="46"/>
        <v>0.12620441668364998</v>
      </c>
      <c r="AC12" s="348">
        <f t="shared" si="12"/>
        <v>1.9113065748552422E-4</v>
      </c>
      <c r="AD12" s="348">
        <f t="shared" si="13"/>
        <v>4.6066445713225328E-4</v>
      </c>
      <c r="AE12" s="348">
        <f t="shared" si="14"/>
        <v>0</v>
      </c>
      <c r="AF12" s="348">
        <f t="shared" si="15"/>
        <v>1.0102042035332053E-3</v>
      </c>
      <c r="AG12" s="348">
        <f t="shared" si="16"/>
        <v>1.6620526865804067E-3</v>
      </c>
      <c r="AH12" s="348">
        <f t="shared" si="17"/>
        <v>0.12616303897969683</v>
      </c>
      <c r="AI12" s="348">
        <f t="shared" si="18"/>
        <v>6.5260160858829249E-5</v>
      </c>
      <c r="AJ12" s="348">
        <f t="shared" si="19"/>
        <v>1.368013963533205E-3</v>
      </c>
      <c r="AK12" s="348">
        <f t="shared" si="20"/>
        <v>1.4332893521657652E-3</v>
      </c>
      <c r="AL12" s="348">
        <f t="shared" si="21"/>
        <v>3.5780975999999995E-4</v>
      </c>
      <c r="AM12" s="348">
        <f t="shared" si="22"/>
        <v>4.7391537599999999E-3</v>
      </c>
      <c r="AN12" s="348">
        <f t="shared" si="23"/>
        <v>7.9611667987632129E-4</v>
      </c>
      <c r="AO12" s="348">
        <f t="shared" si="24"/>
        <v>1.452E-5</v>
      </c>
      <c r="AP12" s="348">
        <f t="shared" si="25"/>
        <v>6.6937199999999988E-2</v>
      </c>
      <c r="AQ12" s="348">
        <f t="shared" si="26"/>
        <v>4.7164980923076916E-2</v>
      </c>
      <c r="AR12" s="348">
        <f t="shared" si="27"/>
        <v>2.1419903999999993E-2</v>
      </c>
      <c r="AS12" s="348">
        <f t="shared" si="28"/>
        <v>6.6951719999999992E-2</v>
      </c>
      <c r="AT12" s="348">
        <f t="shared" si="29"/>
        <v>0.2761209833852119</v>
      </c>
      <c r="AU12">
        <f t="shared" si="30"/>
        <v>0.14849999999999999</v>
      </c>
      <c r="AV12" s="526">
        <f t="shared" si="47"/>
        <v>0.34972364958535807</v>
      </c>
      <c r="AW12" s="534">
        <f t="shared" si="31"/>
        <v>0.20117555506357707</v>
      </c>
      <c r="AX12" s="534">
        <f t="shared" si="32"/>
        <v>0.12198645078370667</v>
      </c>
      <c r="AY12" s="9"/>
      <c r="AZ12" s="4">
        <f t="shared" si="48"/>
        <v>34.972364958535806</v>
      </c>
      <c r="BA12" s="348">
        <f t="shared" si="33"/>
        <v>0.2001132406462566</v>
      </c>
      <c r="BB12" s="348">
        <f t="shared" si="34"/>
        <v>7.834495798746172E-3</v>
      </c>
      <c r="BC12" s="348">
        <f t="shared" si="35"/>
        <v>4.7898941681804065E-3</v>
      </c>
      <c r="BD12" s="348">
        <f t="shared" si="36"/>
        <v>2.9972100929657654E-3</v>
      </c>
      <c r="BE12" s="348">
        <f t="shared" si="37"/>
        <v>7.9611667987632129E-4</v>
      </c>
      <c r="BJ12" s="18"/>
      <c r="BK12" s="18"/>
      <c r="BL12" s="18"/>
      <c r="BM12" s="19"/>
    </row>
    <row r="13" spans="1:65" x14ac:dyDescent="0.25">
      <c r="A13" s="22" t="s">
        <v>6</v>
      </c>
      <c r="B13" s="5">
        <f>Fsw/1000</f>
        <v>405.68</v>
      </c>
      <c r="C13" s="427" t="s">
        <v>2</v>
      </c>
      <c r="D13" s="21" t="s">
        <v>94</v>
      </c>
      <c r="G13">
        <v>4</v>
      </c>
      <c r="H13" s="531">
        <f t="shared" si="0"/>
        <v>6.6</v>
      </c>
      <c r="I13" s="4">
        <f t="shared" si="1"/>
        <v>1</v>
      </c>
      <c r="J13" s="348">
        <f t="shared" si="38"/>
        <v>0.06</v>
      </c>
      <c r="K13" s="348">
        <f t="shared" si="2"/>
        <v>0.06</v>
      </c>
      <c r="L13" s="4">
        <f t="shared" si="3"/>
        <v>3.3333333333333333E-2</v>
      </c>
      <c r="M13" s="348">
        <f t="shared" si="4"/>
        <v>0.50021860238090254</v>
      </c>
      <c r="N13" s="4">
        <f t="shared" si="5"/>
        <v>0.59821714904124801</v>
      </c>
      <c r="O13" s="4">
        <f t="shared" si="39"/>
        <v>0.359108574520624</v>
      </c>
      <c r="P13" s="4">
        <f t="shared" si="40"/>
        <v>-0.23910857452062401</v>
      </c>
      <c r="Q13" s="4">
        <f t="shared" si="6"/>
        <v>6.6</v>
      </c>
      <c r="R13" s="4">
        <f t="shared" si="41"/>
        <v>0.18281679294835007</v>
      </c>
      <c r="S13" s="348">
        <f t="shared" si="7"/>
        <v>1.1697692924371965E-4</v>
      </c>
      <c r="T13" s="348">
        <f t="shared" si="8"/>
        <v>0.2</v>
      </c>
      <c r="U13" s="348">
        <f t="shared" si="9"/>
        <v>0.20011884967232521</v>
      </c>
      <c r="V13" s="4">
        <f t="shared" si="42"/>
        <v>0.17269041601640753</v>
      </c>
      <c r="W13" s="348">
        <f t="shared" si="10"/>
        <v>5.964395956783981E-5</v>
      </c>
      <c r="X13" s="348">
        <f t="shared" si="43"/>
        <v>5.964395956783981E-5</v>
      </c>
      <c r="Y13" s="4">
        <f t="shared" si="44"/>
        <v>9.1408387737908353E-2</v>
      </c>
      <c r="Z13" s="348">
        <f t="shared" si="11"/>
        <v>8.3554933488437946E-6</v>
      </c>
      <c r="AA13" s="525">
        <f t="shared" si="45"/>
        <v>8.3554933488437946E-6</v>
      </c>
      <c r="AB13" s="348">
        <f t="shared" si="46"/>
        <v>0.12929924986756569</v>
      </c>
      <c r="AC13" s="348">
        <f t="shared" si="12"/>
        <v>2.0061955219578223E-4</v>
      </c>
      <c r="AD13" s="348">
        <f t="shared" si="13"/>
        <v>6.1421927617633771E-4</v>
      </c>
      <c r="AE13" s="348">
        <f t="shared" si="14"/>
        <v>0</v>
      </c>
      <c r="AF13" s="348">
        <f t="shared" si="15"/>
        <v>9.5061535181296193E-4</v>
      </c>
      <c r="AG13" s="348">
        <f t="shared" si="16"/>
        <v>1.7655136852079887E-3</v>
      </c>
      <c r="AH13" s="348">
        <f t="shared" si="17"/>
        <v>0.12924273197207148</v>
      </c>
      <c r="AI13" s="348">
        <f t="shared" si="18"/>
        <v>6.8485103447179282E-5</v>
      </c>
      <c r="AJ13" s="348">
        <f t="shared" si="19"/>
        <v>1.4276950318129619E-3</v>
      </c>
      <c r="AK13" s="348">
        <f t="shared" si="20"/>
        <v>1.4961968169192891E-3</v>
      </c>
      <c r="AL13" s="348">
        <f t="shared" si="21"/>
        <v>4.7707967999999993E-4</v>
      </c>
      <c r="AM13" s="348">
        <f t="shared" si="22"/>
        <v>6.3188716799999984E-3</v>
      </c>
      <c r="AN13" s="348">
        <f t="shared" si="23"/>
        <v>8.3554949459799753E-4</v>
      </c>
      <c r="AO13" s="348">
        <f t="shared" si="24"/>
        <v>1.452E-5</v>
      </c>
      <c r="AP13" s="348">
        <f t="shared" si="25"/>
        <v>6.6937199999999988E-2</v>
      </c>
      <c r="AQ13" s="348">
        <f t="shared" si="26"/>
        <v>4.7164980923076916E-2</v>
      </c>
      <c r="AR13" s="348">
        <f t="shared" si="27"/>
        <v>2.1419903999999993E-2</v>
      </c>
      <c r="AS13" s="348">
        <f t="shared" si="28"/>
        <v>6.6951719999999992E-2</v>
      </c>
      <c r="AT13" s="348">
        <f t="shared" si="29"/>
        <v>0.27803178048196719</v>
      </c>
      <c r="AU13">
        <f t="shared" si="30"/>
        <v>0.19799999999999998</v>
      </c>
      <c r="AV13" s="526">
        <f t="shared" si="47"/>
        <v>0.41593861611409899</v>
      </c>
      <c r="AW13" s="534">
        <f t="shared" si="31"/>
        <v>0.24931069774833553</v>
      </c>
      <c r="AX13" s="534">
        <f t="shared" si="32"/>
        <v>0.14576397598269505</v>
      </c>
      <c r="AY13" s="9"/>
      <c r="AZ13" s="4">
        <f t="shared" si="48"/>
        <v>41.593861611409899</v>
      </c>
      <c r="BA13" s="348">
        <f t="shared" si="33"/>
        <v>0.20011884967232521</v>
      </c>
      <c r="BB13" s="348">
        <f t="shared" si="34"/>
        <v>9.5805821821272757E-3</v>
      </c>
      <c r="BC13" s="348">
        <f t="shared" si="35"/>
        <v>5.9359689940079886E-3</v>
      </c>
      <c r="BD13" s="348">
        <f t="shared" si="36"/>
        <v>3.5814244713192889E-3</v>
      </c>
      <c r="BE13" s="348">
        <f t="shared" si="37"/>
        <v>8.3554949459799753E-4</v>
      </c>
      <c r="BJ13" s="18"/>
      <c r="BK13" s="18"/>
      <c r="BL13" s="18"/>
      <c r="BM13" s="19"/>
    </row>
    <row r="14" spans="1:65" x14ac:dyDescent="0.25">
      <c r="A14" s="22" t="s">
        <v>5</v>
      </c>
      <c r="B14" s="5">
        <f>Iout</f>
        <v>1.5</v>
      </c>
      <c r="C14" s="427" t="s">
        <v>1</v>
      </c>
      <c r="D14" s="21" t="s">
        <v>95</v>
      </c>
      <c r="G14">
        <v>5</v>
      </c>
      <c r="H14" s="531">
        <f t="shared" si="0"/>
        <v>6.6</v>
      </c>
      <c r="I14" s="4">
        <f t="shared" si="1"/>
        <v>1</v>
      </c>
      <c r="J14" s="348">
        <f t="shared" si="38"/>
        <v>7.4999999999999997E-2</v>
      </c>
      <c r="K14" s="348">
        <f t="shared" si="2"/>
        <v>7.4999999999999997E-2</v>
      </c>
      <c r="L14" s="4">
        <f t="shared" si="3"/>
        <v>4.1666666666666664E-2</v>
      </c>
      <c r="M14" s="348">
        <f t="shared" si="4"/>
        <v>0.50027324235858706</v>
      </c>
      <c r="N14" s="4">
        <f t="shared" si="5"/>
        <v>0.59824033001202592</v>
      </c>
      <c r="O14" s="4">
        <f t="shared" si="39"/>
        <v>0.37412016500601297</v>
      </c>
      <c r="P14" s="4">
        <f t="shared" si="40"/>
        <v>-0.22412016500601295</v>
      </c>
      <c r="Q14" s="4">
        <f t="shared" si="6"/>
        <v>6.6</v>
      </c>
      <c r="R14" s="4">
        <f t="shared" si="41"/>
        <v>0.18827982111140185</v>
      </c>
      <c r="S14" s="348">
        <f t="shared" si="7"/>
        <v>1.2407251863209517E-4</v>
      </c>
      <c r="T14" s="348">
        <f t="shared" si="8"/>
        <v>0.2</v>
      </c>
      <c r="U14" s="348">
        <f t="shared" si="9"/>
        <v>0.20012605893016613</v>
      </c>
      <c r="V14" s="4">
        <f t="shared" si="42"/>
        <v>0.17269710778626687</v>
      </c>
      <c r="W14" s="348">
        <f t="shared" si="10"/>
        <v>5.9648582075482963E-5</v>
      </c>
      <c r="X14" s="348">
        <f t="shared" si="43"/>
        <v>5.9648582075482963E-5</v>
      </c>
      <c r="Y14" s="4">
        <f t="shared" si="44"/>
        <v>9.4139896498467379E-2</v>
      </c>
      <c r="Z14" s="348">
        <f t="shared" si="11"/>
        <v>8.8623201127421516E-6</v>
      </c>
      <c r="AA14" s="525">
        <f t="shared" si="45"/>
        <v>8.8623201127421516E-6</v>
      </c>
      <c r="AB14" s="348">
        <f t="shared" si="46"/>
        <v>0.13317031113113811</v>
      </c>
      <c r="AC14" s="348">
        <f t="shared" si="12"/>
        <v>2.1281198120116953E-4</v>
      </c>
      <c r="AD14" s="348">
        <f t="shared" si="13"/>
        <v>7.6777409522042208E-4</v>
      </c>
      <c r="AE14" s="348">
        <f t="shared" si="14"/>
        <v>0</v>
      </c>
      <c r="AF14" s="348">
        <f t="shared" si="15"/>
        <v>8.9102647168846536E-4</v>
      </c>
      <c r="AG14" s="348">
        <f t="shared" si="16"/>
        <v>1.8716794651670032E-3</v>
      </c>
      <c r="AH14" s="348">
        <f t="shared" si="17"/>
        <v>0.13309755546582119</v>
      </c>
      <c r="AI14" s="348">
        <f t="shared" si="18"/>
        <v>7.2631333011007133E-5</v>
      </c>
      <c r="AJ14" s="348">
        <f t="shared" si="19"/>
        <v>1.4873760716884654E-3</v>
      </c>
      <c r="AK14" s="348">
        <f t="shared" si="20"/>
        <v>1.5600258510395271E-3</v>
      </c>
      <c r="AL14" s="348">
        <f t="shared" si="21"/>
        <v>5.9634959999999991E-4</v>
      </c>
      <c r="AM14" s="348">
        <f t="shared" si="22"/>
        <v>7.8985896000000003E-3</v>
      </c>
      <c r="AN14" s="348">
        <f t="shared" si="23"/>
        <v>8.8623227594353694E-4</v>
      </c>
      <c r="AO14" s="348">
        <f t="shared" si="24"/>
        <v>1.452E-5</v>
      </c>
      <c r="AP14" s="348">
        <f t="shared" si="25"/>
        <v>6.6937199999999988E-2</v>
      </c>
      <c r="AQ14" s="348">
        <f t="shared" si="26"/>
        <v>4.7164980923076916E-2</v>
      </c>
      <c r="AR14" s="348">
        <f t="shared" si="27"/>
        <v>2.1419903999999993E-2</v>
      </c>
      <c r="AS14" s="348">
        <f t="shared" si="28"/>
        <v>6.6951719999999992E-2</v>
      </c>
      <c r="AT14" s="348">
        <f t="shared" si="29"/>
        <v>0.27995916662450443</v>
      </c>
      <c r="AU14">
        <f t="shared" si="30"/>
        <v>0.24749999999999997</v>
      </c>
      <c r="AV14" s="526">
        <f t="shared" si="47"/>
        <v>0.4692306355843352</v>
      </c>
      <c r="AW14" s="534">
        <f t="shared" si="31"/>
        <v>0.29755944124901412</v>
      </c>
      <c r="AX14" s="534">
        <f t="shared" si="32"/>
        <v>0.16957900905490875</v>
      </c>
      <c r="AY14" s="9"/>
      <c r="AZ14" s="4">
        <f t="shared" si="48"/>
        <v>46.923063558433519</v>
      </c>
      <c r="BA14" s="348">
        <f t="shared" si="33"/>
        <v>0.20012605893016613</v>
      </c>
      <c r="BB14" s="348">
        <f t="shared" si="34"/>
        <v>1.133029491620653E-2</v>
      </c>
      <c r="BC14" s="348">
        <f t="shared" si="35"/>
        <v>7.0847486011670034E-3</v>
      </c>
      <c r="BD14" s="348">
        <f t="shared" si="36"/>
        <v>4.1665604190395267E-3</v>
      </c>
      <c r="BE14" s="348">
        <f t="shared" si="37"/>
        <v>8.8623227594353694E-4</v>
      </c>
      <c r="BJ14" s="18"/>
      <c r="BK14" s="18"/>
      <c r="BL14" s="18"/>
      <c r="BM14" s="19"/>
    </row>
    <row r="15" spans="1:65" x14ac:dyDescent="0.25">
      <c r="A15" s="23" t="s">
        <v>83</v>
      </c>
      <c r="B15" s="5">
        <f>Ta</f>
        <v>25</v>
      </c>
      <c r="C15" s="427" t="s">
        <v>449</v>
      </c>
      <c r="D15" s="21" t="s">
        <v>96</v>
      </c>
      <c r="G15">
        <v>6</v>
      </c>
      <c r="H15" s="531">
        <f t="shared" si="0"/>
        <v>6.6</v>
      </c>
      <c r="I15" s="4">
        <f t="shared" si="1"/>
        <v>1</v>
      </c>
      <c r="J15" s="348">
        <f t="shared" si="38"/>
        <v>0.09</v>
      </c>
      <c r="K15" s="348">
        <f t="shared" si="2"/>
        <v>0.09</v>
      </c>
      <c r="L15" s="4">
        <f t="shared" si="3"/>
        <v>0.05</v>
      </c>
      <c r="M15" s="348">
        <f t="shared" si="4"/>
        <v>0.50032787809024537</v>
      </c>
      <c r="N15" s="4">
        <f t="shared" si="5"/>
        <v>0.59826349669540824</v>
      </c>
      <c r="O15" s="4">
        <f t="shared" si="39"/>
        <v>0.38913174834770414</v>
      </c>
      <c r="P15" s="4">
        <f t="shared" si="40"/>
        <v>-0.20913174834770412</v>
      </c>
      <c r="Q15" s="4">
        <f t="shared" si="6"/>
        <v>6.6</v>
      </c>
      <c r="R15" s="4">
        <f t="shared" si="41"/>
        <v>0.19474753132329575</v>
      </c>
      <c r="S15" s="348">
        <f t="shared" si="7"/>
        <v>1.3274310334781319E-4</v>
      </c>
      <c r="T15" s="348">
        <f t="shared" si="8"/>
        <v>0.2</v>
      </c>
      <c r="U15" s="348">
        <f t="shared" si="9"/>
        <v>0.20013486842522968</v>
      </c>
      <c r="V15" s="4">
        <f t="shared" si="42"/>
        <v>0.17270379543171038</v>
      </c>
      <c r="W15" s="348">
        <f t="shared" si="10"/>
        <v>5.9653201913036136E-5</v>
      </c>
      <c r="X15" s="348">
        <f t="shared" si="43"/>
        <v>5.9653201913036136E-5</v>
      </c>
      <c r="Y15" s="4">
        <f t="shared" si="44"/>
        <v>9.7373744725498826E-2</v>
      </c>
      <c r="Z15" s="348">
        <f t="shared" si="11"/>
        <v>9.4816461618666105E-6</v>
      </c>
      <c r="AA15" s="525">
        <f t="shared" si="45"/>
        <v>9.4816461618666105E-6</v>
      </c>
      <c r="AB15" s="348">
        <f t="shared" si="46"/>
        <v>0.13775244382496504</v>
      </c>
      <c r="AC15" s="348">
        <f t="shared" si="12"/>
        <v>2.277088293570018E-4</v>
      </c>
      <c r="AD15" s="348">
        <f t="shared" si="13"/>
        <v>9.2132891426450656E-4</v>
      </c>
      <c r="AE15" s="348">
        <f t="shared" si="14"/>
        <v>0</v>
      </c>
      <c r="AF15" s="348">
        <f t="shared" si="15"/>
        <v>8.314375631630266E-4</v>
      </c>
      <c r="AG15" s="348">
        <f t="shared" si="16"/>
        <v>1.9805510729308732E-3</v>
      </c>
      <c r="AH15" s="348">
        <f t="shared" si="17"/>
        <v>0.13766214140702557</v>
      </c>
      <c r="AI15" s="348">
        <f t="shared" si="18"/>
        <v>7.7698547224748399E-5</v>
      </c>
      <c r="AJ15" s="348">
        <f t="shared" si="19"/>
        <v>1.5470570831630267E-3</v>
      </c>
      <c r="AK15" s="348">
        <f t="shared" si="20"/>
        <v>1.624776182707306E-3</v>
      </c>
      <c r="AL15" s="348">
        <f t="shared" si="21"/>
        <v>7.1561951999999989E-4</v>
      </c>
      <c r="AM15" s="348">
        <f t="shared" si="22"/>
        <v>9.4783075199999997E-3</v>
      </c>
      <c r="AN15" s="348">
        <f t="shared" si="23"/>
        <v>9.4816502391295143E-4</v>
      </c>
      <c r="AO15" s="348">
        <f t="shared" si="24"/>
        <v>1.452E-5</v>
      </c>
      <c r="AP15" s="348">
        <f t="shared" si="25"/>
        <v>6.6937199999999988E-2</v>
      </c>
      <c r="AQ15" s="348">
        <f t="shared" si="26"/>
        <v>4.7164980923076916E-2</v>
      </c>
      <c r="AR15" s="348">
        <f t="shared" si="27"/>
        <v>2.1419903999999993E-2</v>
      </c>
      <c r="AS15" s="348">
        <f t="shared" si="28"/>
        <v>6.6951719999999992E-2</v>
      </c>
      <c r="AT15" s="348">
        <f t="shared" si="29"/>
        <v>0.2819031425928557</v>
      </c>
      <c r="AU15">
        <f t="shared" si="30"/>
        <v>0.29699999999999999</v>
      </c>
      <c r="AV15" s="526">
        <f t="shared" si="47"/>
        <v>0.5130391910981229</v>
      </c>
      <c r="AW15" s="534">
        <f t="shared" si="31"/>
        <v>0.34592182951749667</v>
      </c>
      <c r="AX15" s="534">
        <f t="shared" si="32"/>
        <v>0.19343153893730736</v>
      </c>
      <c r="AY15" s="9"/>
      <c r="AZ15" s="4">
        <f t="shared" si="48"/>
        <v>51.303919109812291</v>
      </c>
      <c r="BA15" s="348">
        <f t="shared" si="33"/>
        <v>0.20013486842522968</v>
      </c>
      <c r="BB15" s="348">
        <f t="shared" si="34"/>
        <v>1.3083634775638179E-2</v>
      </c>
      <c r="BC15" s="348">
        <f t="shared" si="35"/>
        <v>8.2362340361308729E-3</v>
      </c>
      <c r="BD15" s="348">
        <f t="shared" si="36"/>
        <v>4.752617664307306E-3</v>
      </c>
      <c r="BE15" s="348">
        <f t="shared" si="37"/>
        <v>9.4816502391295143E-4</v>
      </c>
      <c r="BJ15" s="18"/>
      <c r="BK15" s="18"/>
      <c r="BL15" s="18"/>
      <c r="BM15" s="19"/>
    </row>
    <row r="16" spans="1:65" x14ac:dyDescent="0.25">
      <c r="A16" s="435" t="s">
        <v>460</v>
      </c>
      <c r="B16" s="5">
        <f>VCC</f>
        <v>5</v>
      </c>
      <c r="C16" s="427" t="s">
        <v>0</v>
      </c>
      <c r="D16" s="427" t="s">
        <v>459</v>
      </c>
      <c r="G16">
        <v>7</v>
      </c>
      <c r="H16" s="531">
        <f t="shared" si="0"/>
        <v>6.6</v>
      </c>
      <c r="I16" s="4">
        <f t="shared" si="1"/>
        <v>1</v>
      </c>
      <c r="J16" s="348">
        <f t="shared" si="38"/>
        <v>0.105</v>
      </c>
      <c r="K16" s="348">
        <f t="shared" si="2"/>
        <v>0.105</v>
      </c>
      <c r="L16" s="4">
        <f t="shared" si="3"/>
        <v>5.8333333333333334E-2</v>
      </c>
      <c r="M16" s="348">
        <f t="shared" si="4"/>
        <v>0.50038250957637209</v>
      </c>
      <c r="N16" s="4">
        <f t="shared" si="5"/>
        <v>0.59828664909305951</v>
      </c>
      <c r="O16" s="4">
        <f t="shared" si="39"/>
        <v>0.40414332454652974</v>
      </c>
      <c r="P16" s="4">
        <f t="shared" si="40"/>
        <v>-0.19414332454652977</v>
      </c>
      <c r="Q16" s="4">
        <f t="shared" si="6"/>
        <v>6.6</v>
      </c>
      <c r="R16" s="4">
        <f t="shared" si="41"/>
        <v>0.20212350071243604</v>
      </c>
      <c r="S16" s="348">
        <f t="shared" si="7"/>
        <v>1.4298868339087547E-4</v>
      </c>
      <c r="T16" s="348">
        <f t="shared" si="8"/>
        <v>0.2</v>
      </c>
      <c r="U16" s="348">
        <f t="shared" si="9"/>
        <v>0.20014527816417582</v>
      </c>
      <c r="V16" s="4">
        <f t="shared" si="42"/>
        <v>0.17271047895321856</v>
      </c>
      <c r="W16" s="348">
        <f t="shared" si="10"/>
        <v>5.9657819080500306E-5</v>
      </c>
      <c r="X16" s="348">
        <f t="shared" si="43"/>
        <v>5.9657819080500306E-5</v>
      </c>
      <c r="Y16" s="4">
        <f t="shared" si="44"/>
        <v>0.10106172078280151</v>
      </c>
      <c r="Z16" s="348">
        <f t="shared" si="11"/>
        <v>1.0213471407580935E-5</v>
      </c>
      <c r="AA16" s="525">
        <f t="shared" si="45"/>
        <v>1.0213471407580935E-5</v>
      </c>
      <c r="AB16" s="348">
        <f t="shared" si="46"/>
        <v>0.14297755691630923</v>
      </c>
      <c r="AC16" s="348">
        <f t="shared" si="12"/>
        <v>2.4531098138107736E-4</v>
      </c>
      <c r="AD16" s="348">
        <f t="shared" si="13"/>
        <v>1.0748837333085909E-3</v>
      </c>
      <c r="AE16" s="348">
        <f t="shared" si="14"/>
        <v>0</v>
      </c>
      <c r="AF16" s="348">
        <f t="shared" si="15"/>
        <v>7.7184862623995475E-4</v>
      </c>
      <c r="AG16" s="348">
        <f t="shared" si="16"/>
        <v>2.0921295622854481E-3</v>
      </c>
      <c r="AH16" s="348">
        <f t="shared" si="17"/>
        <v>0.1428682181539816</v>
      </c>
      <c r="AI16" s="348">
        <f t="shared" si="18"/>
        <v>8.3686443809824067E-5</v>
      </c>
      <c r="AJ16" s="348">
        <f t="shared" si="19"/>
        <v>1.6067380662399544E-3</v>
      </c>
      <c r="AK16" s="348">
        <f t="shared" si="20"/>
        <v>1.6904475409658035E-3</v>
      </c>
      <c r="AL16" s="348">
        <f t="shared" si="21"/>
        <v>8.3488943999999988E-4</v>
      </c>
      <c r="AM16" s="348">
        <f t="shared" si="22"/>
        <v>1.1058025439999997E-2</v>
      </c>
      <c r="AN16" s="348">
        <f t="shared" si="23"/>
        <v>1.0213477385062533E-3</v>
      </c>
      <c r="AO16" s="348">
        <f t="shared" si="24"/>
        <v>1.452E-5</v>
      </c>
      <c r="AP16" s="348">
        <f t="shared" si="25"/>
        <v>6.6937199999999988E-2</v>
      </c>
      <c r="AQ16" s="348">
        <f t="shared" si="26"/>
        <v>4.7164980923076916E-2</v>
      </c>
      <c r="AR16" s="348">
        <f t="shared" si="27"/>
        <v>2.1419903999999993E-2</v>
      </c>
      <c r="AS16" s="348">
        <f t="shared" si="28"/>
        <v>6.6951719999999992E-2</v>
      </c>
      <c r="AT16" s="348">
        <f t="shared" si="29"/>
        <v>0.2838637091764214</v>
      </c>
      <c r="AU16">
        <f t="shared" si="30"/>
        <v>0.34649999999999997</v>
      </c>
      <c r="AV16" s="526">
        <f t="shared" si="47"/>
        <v>0.54968265932172211</v>
      </c>
      <c r="AW16" s="534">
        <f t="shared" si="31"/>
        <v>0.3943979068127888</v>
      </c>
      <c r="AX16" s="534">
        <f t="shared" si="32"/>
        <v>0.21732155460194819</v>
      </c>
      <c r="AY16" s="9"/>
      <c r="AZ16" s="4">
        <f t="shared" si="48"/>
        <v>54.968265932172208</v>
      </c>
      <c r="BA16" s="348">
        <f t="shared" si="33"/>
        <v>0.20014527816417582</v>
      </c>
      <c r="BB16" s="348">
        <f t="shared" si="34"/>
        <v>1.4840602543251249E-2</v>
      </c>
      <c r="BC16" s="348">
        <f t="shared" si="35"/>
        <v>9.3904263526854471E-3</v>
      </c>
      <c r="BD16" s="348">
        <f t="shared" si="36"/>
        <v>5.3395959361658028E-3</v>
      </c>
      <c r="BE16" s="348">
        <f t="shared" si="37"/>
        <v>1.0213477385062533E-3</v>
      </c>
      <c r="BJ16" s="18"/>
      <c r="BK16" s="18"/>
      <c r="BL16" s="18"/>
      <c r="BM16" s="19"/>
    </row>
    <row r="17" spans="1:65" ht="13" x14ac:dyDescent="0.3">
      <c r="A17" s="24" t="s">
        <v>58</v>
      </c>
      <c r="B17" s="16" t="s">
        <v>111</v>
      </c>
      <c r="C17" s="24" t="s">
        <v>76</v>
      </c>
      <c r="D17" s="17" t="s">
        <v>107</v>
      </c>
      <c r="G17">
        <v>8</v>
      </c>
      <c r="H17" s="531">
        <f t="shared" si="0"/>
        <v>6.6</v>
      </c>
      <c r="I17" s="4">
        <f t="shared" si="1"/>
        <v>1</v>
      </c>
      <c r="J17" s="348">
        <f t="shared" si="38"/>
        <v>0.12</v>
      </c>
      <c r="K17" s="348">
        <f t="shared" si="2"/>
        <v>0.12</v>
      </c>
      <c r="L17" s="4">
        <f t="shared" si="3"/>
        <v>6.6666666666666666E-2</v>
      </c>
      <c r="M17" s="348">
        <f t="shared" si="4"/>
        <v>0.50043713681746227</v>
      </c>
      <c r="N17" s="4">
        <f t="shared" si="5"/>
        <v>0.5983097872066454</v>
      </c>
      <c r="O17" s="4">
        <f t="shared" si="39"/>
        <v>0.4191548936033227</v>
      </c>
      <c r="P17" s="4">
        <f t="shared" si="40"/>
        <v>-0.17915489360332271</v>
      </c>
      <c r="Q17" s="4">
        <f t="shared" si="6"/>
        <v>6.6</v>
      </c>
      <c r="R17" s="4">
        <f t="shared" si="41"/>
        <v>0.21031218887391773</v>
      </c>
      <c r="S17" s="348">
        <f t="shared" si="7"/>
        <v>1.5480925876128456E-4</v>
      </c>
      <c r="T17" s="348">
        <f t="shared" si="8"/>
        <v>0.2</v>
      </c>
      <c r="U17" s="348">
        <f t="shared" si="9"/>
        <v>0.20015728815487449</v>
      </c>
      <c r="V17" s="4">
        <f t="shared" si="42"/>
        <v>0.17271715835127222</v>
      </c>
      <c r="W17" s="348">
        <f t="shared" si="10"/>
        <v>5.9662433577876888E-5</v>
      </c>
      <c r="X17" s="348">
        <f t="shared" si="43"/>
        <v>5.9662433577876888E-5</v>
      </c>
      <c r="Y17" s="4">
        <f t="shared" si="44"/>
        <v>0.10515605424869004</v>
      </c>
      <c r="Z17" s="348">
        <f t="shared" si="11"/>
        <v>1.1057795745153443E-5</v>
      </c>
      <c r="AA17" s="525">
        <f t="shared" si="45"/>
        <v>1.1057795745153443E-5</v>
      </c>
      <c r="AB17" s="348">
        <f t="shared" si="46"/>
        <v>0.14877816872044375</v>
      </c>
      <c r="AC17" s="348">
        <f t="shared" si="12"/>
        <v>2.6561932185370588E-4</v>
      </c>
      <c r="AD17" s="348">
        <f t="shared" si="13"/>
        <v>1.2284385523526754E-3</v>
      </c>
      <c r="AE17" s="348">
        <f t="shared" si="14"/>
        <v>0</v>
      </c>
      <c r="AF17" s="348">
        <f t="shared" si="15"/>
        <v>7.122596609225603E-4</v>
      </c>
      <c r="AG17" s="348">
        <f t="shared" si="16"/>
        <v>2.206415994337926E-3</v>
      </c>
      <c r="AH17" s="348">
        <f t="shared" si="17"/>
        <v>0.14864815270002388</v>
      </c>
      <c r="AI17" s="348">
        <f t="shared" si="18"/>
        <v>9.0594720534631424E-5</v>
      </c>
      <c r="AJ17" s="348">
        <f t="shared" si="19"/>
        <v>1.6664190209225601E-3</v>
      </c>
      <c r="AK17" s="348">
        <f t="shared" si="20"/>
        <v>1.7570396557196903E-3</v>
      </c>
      <c r="AL17" s="348">
        <f t="shared" si="21"/>
        <v>9.5415935999999986E-4</v>
      </c>
      <c r="AM17" s="348">
        <f t="shared" si="22"/>
        <v>1.2637743359999997E-2</v>
      </c>
      <c r="AN17" s="348">
        <f t="shared" si="23"/>
        <v>1.1057804197234613E-3</v>
      </c>
      <c r="AO17" s="348">
        <f t="shared" si="24"/>
        <v>1.452E-5</v>
      </c>
      <c r="AP17" s="348">
        <f t="shared" si="25"/>
        <v>6.6937199999999988E-2</v>
      </c>
      <c r="AQ17" s="348">
        <f t="shared" si="26"/>
        <v>4.7164980923076916E-2</v>
      </c>
      <c r="AR17" s="348">
        <f t="shared" si="27"/>
        <v>2.1419903999999993E-2</v>
      </c>
      <c r="AS17" s="348">
        <f t="shared" si="28"/>
        <v>6.6951719999999992E-2</v>
      </c>
      <c r="AT17" s="348">
        <f t="shared" si="29"/>
        <v>0.28584086717397866</v>
      </c>
      <c r="AU17">
        <f t="shared" si="30"/>
        <v>0.39599999999999996</v>
      </c>
      <c r="AV17" s="526">
        <f t="shared" si="47"/>
        <v>0.58078067634945174</v>
      </c>
      <c r="AW17" s="534">
        <f t="shared" si="31"/>
        <v>0.44298771770139284</v>
      </c>
      <c r="AX17" s="534">
        <f t="shared" si="32"/>
        <v>0.24124904505595141</v>
      </c>
      <c r="AY17" s="9"/>
      <c r="AZ17" s="4">
        <f t="shared" si="48"/>
        <v>58.078067634945171</v>
      </c>
      <c r="BA17" s="348">
        <f t="shared" si="33"/>
        <v>0.20015728815487449</v>
      </c>
      <c r="BB17" s="348">
        <f t="shared" si="34"/>
        <v>1.6601199010057612E-2</v>
      </c>
      <c r="BC17" s="348">
        <f t="shared" si="35"/>
        <v>1.0547326611937925E-2</v>
      </c>
      <c r="BD17" s="348">
        <f t="shared" si="36"/>
        <v>5.92749496451969E-3</v>
      </c>
      <c r="BE17" s="348">
        <f t="shared" si="37"/>
        <v>1.1057804197234613E-3</v>
      </c>
      <c r="BJ17" s="18"/>
      <c r="BK17" s="18"/>
      <c r="BL17" s="18"/>
      <c r="BM17" s="19"/>
    </row>
    <row r="18" spans="1:65" x14ac:dyDescent="0.25">
      <c r="A18" s="35" t="s">
        <v>56</v>
      </c>
      <c r="B18" s="38">
        <f>Lf*1000000</f>
        <v>6.8</v>
      </c>
      <c r="C18" s="428" t="s">
        <v>10</v>
      </c>
      <c r="D18" s="427" t="s">
        <v>452</v>
      </c>
      <c r="G18">
        <v>9</v>
      </c>
      <c r="H18" s="531">
        <f t="shared" si="0"/>
        <v>6.6</v>
      </c>
      <c r="I18" s="4">
        <f t="shared" si="1"/>
        <v>1</v>
      </c>
      <c r="J18" s="348">
        <f t="shared" si="38"/>
        <v>0.13500000000000001</v>
      </c>
      <c r="K18" s="348">
        <f t="shared" si="2"/>
        <v>0.13500000000000001</v>
      </c>
      <c r="L18" s="4">
        <f t="shared" si="3"/>
        <v>7.5000000000000011E-2</v>
      </c>
      <c r="M18" s="348">
        <f t="shared" si="4"/>
        <v>0.50049175981401051</v>
      </c>
      <c r="N18" s="4">
        <f t="shared" si="5"/>
        <v>0.59833291103783037</v>
      </c>
      <c r="O18" s="4">
        <f t="shared" si="39"/>
        <v>0.4341664555189152</v>
      </c>
      <c r="P18" s="4">
        <f t="shared" si="40"/>
        <v>-0.16416645551891518</v>
      </c>
      <c r="Q18" s="4">
        <f t="shared" si="6"/>
        <v>6.6</v>
      </c>
      <c r="R18" s="4">
        <f t="shared" si="41"/>
        <v>0.21922254150197168</v>
      </c>
      <c r="S18" s="348">
        <f t="shared" si="7"/>
        <v>1.6820482945904293E-4</v>
      </c>
      <c r="T18" s="348">
        <f t="shared" si="8"/>
        <v>0.2</v>
      </c>
      <c r="U18" s="348">
        <f t="shared" si="9"/>
        <v>0.20017089840640537</v>
      </c>
      <c r="V18" s="4">
        <f t="shared" si="42"/>
        <v>0.17272383362635191</v>
      </c>
      <c r="W18" s="348">
        <f t="shared" si="10"/>
        <v>5.9667045405167388E-5</v>
      </c>
      <c r="X18" s="348">
        <f t="shared" si="43"/>
        <v>5.9667045405167388E-5</v>
      </c>
      <c r="Y18" s="4">
        <f t="shared" si="44"/>
        <v>0.10961121773688681</v>
      </c>
      <c r="Z18" s="348">
        <f t="shared" si="11"/>
        <v>1.2014619053763209E-5</v>
      </c>
      <c r="AA18" s="525">
        <f t="shared" si="45"/>
        <v>1.2014619053763209E-5</v>
      </c>
      <c r="AB18" s="348">
        <f t="shared" si="46"/>
        <v>0.15508995648164225</v>
      </c>
      <c r="AC18" s="348">
        <f t="shared" si="12"/>
        <v>2.8863473521773225E-4</v>
      </c>
      <c r="AD18" s="348">
        <f t="shared" si="13"/>
        <v>1.3819933713967599E-3</v>
      </c>
      <c r="AE18" s="348">
        <f t="shared" si="14"/>
        <v>0</v>
      </c>
      <c r="AF18" s="348">
        <f t="shared" si="15"/>
        <v>6.5267066721415225E-4</v>
      </c>
      <c r="AG18" s="348">
        <f t="shared" si="16"/>
        <v>2.3234114375258164E-3</v>
      </c>
      <c r="AH18" s="348">
        <f t="shared" si="17"/>
        <v>0.15493749740171359</v>
      </c>
      <c r="AI18" s="348">
        <f t="shared" si="18"/>
        <v>9.8423075214534595E-5</v>
      </c>
      <c r="AJ18" s="348">
        <f t="shared" si="19"/>
        <v>1.7260999472141522E-3</v>
      </c>
      <c r="AK18" s="348">
        <f t="shared" si="20"/>
        <v>1.8245522577342655E-3</v>
      </c>
      <c r="AL18" s="348">
        <f t="shared" si="21"/>
        <v>1.0734292799999998E-3</v>
      </c>
      <c r="AM18" s="348">
        <f t="shared" si="22"/>
        <v>1.4217461279999998E-2</v>
      </c>
      <c r="AN18" s="348">
        <f t="shared" si="23"/>
        <v>1.2014630675645924E-3</v>
      </c>
      <c r="AO18" s="348">
        <f t="shared" si="24"/>
        <v>1.452E-5</v>
      </c>
      <c r="AP18" s="348">
        <f t="shared" si="25"/>
        <v>6.6937199999999988E-2</v>
      </c>
      <c r="AQ18" s="348">
        <f t="shared" si="26"/>
        <v>4.7164980923076916E-2</v>
      </c>
      <c r="AR18" s="348">
        <f t="shared" si="27"/>
        <v>2.1419903999999993E-2</v>
      </c>
      <c r="AS18" s="348">
        <f t="shared" si="28"/>
        <v>6.6951719999999992E-2</v>
      </c>
      <c r="AT18" s="348">
        <f t="shared" si="29"/>
        <v>0.28783461739368893</v>
      </c>
      <c r="AU18">
        <f t="shared" si="30"/>
        <v>0.44550000000000001</v>
      </c>
      <c r="AV18" s="526">
        <f t="shared" si="47"/>
        <v>0.60749893627459073</v>
      </c>
      <c r="AW18" s="534">
        <f t="shared" si="31"/>
        <v>0.49169130705768427</v>
      </c>
      <c r="AX18" s="534">
        <f t="shared" si="32"/>
        <v>0.26521399934146461</v>
      </c>
      <c r="AY18" s="9"/>
      <c r="AZ18" s="4">
        <f t="shared" si="48"/>
        <v>60.749893627459073</v>
      </c>
      <c r="BA18" s="348">
        <f t="shared" si="33"/>
        <v>0.20017089840640537</v>
      </c>
      <c r="BB18" s="348">
        <f t="shared" si="34"/>
        <v>1.8365424975260079E-2</v>
      </c>
      <c r="BC18" s="348">
        <f t="shared" si="35"/>
        <v>1.1706935882325816E-2</v>
      </c>
      <c r="BD18" s="348">
        <f t="shared" si="36"/>
        <v>6.5163144801342653E-3</v>
      </c>
      <c r="BE18" s="348">
        <f t="shared" si="37"/>
        <v>1.2014630675645924E-3</v>
      </c>
      <c r="BK18" s="18"/>
      <c r="BL18" s="19"/>
    </row>
    <row r="19" spans="1:65" x14ac:dyDescent="0.25">
      <c r="A19" s="35" t="s">
        <v>11</v>
      </c>
      <c r="B19" s="39">
        <f>Rdcr*1000</f>
        <v>3.5</v>
      </c>
      <c r="C19" s="429" t="s">
        <v>450</v>
      </c>
      <c r="D19" s="427" t="s">
        <v>453</v>
      </c>
      <c r="G19">
        <v>10</v>
      </c>
      <c r="H19" s="531">
        <f t="shared" si="0"/>
        <v>6.6</v>
      </c>
      <c r="I19" s="4">
        <f t="shared" si="1"/>
        <v>1</v>
      </c>
      <c r="J19" s="348">
        <f t="shared" si="38"/>
        <v>0.15</v>
      </c>
      <c r="K19" s="348">
        <f t="shared" si="2"/>
        <v>0.15</v>
      </c>
      <c r="L19" s="4">
        <f t="shared" si="3"/>
        <v>8.3333333333333329E-2</v>
      </c>
      <c r="M19" s="348">
        <f t="shared" si="4"/>
        <v>0.50054637856651163</v>
      </c>
      <c r="N19" s="4">
        <f t="shared" si="5"/>
        <v>0.59835602058827919</v>
      </c>
      <c r="O19" s="4">
        <f t="shared" si="39"/>
        <v>0.44917801029413962</v>
      </c>
      <c r="P19" s="4">
        <f t="shared" si="40"/>
        <v>-0.1491780102941396</v>
      </c>
      <c r="Q19" s="4">
        <f t="shared" si="6"/>
        <v>6.189958933366789</v>
      </c>
      <c r="R19" s="4">
        <f t="shared" si="41"/>
        <v>0.2287702499915292</v>
      </c>
      <c r="S19" s="348">
        <f t="shared" si="7"/>
        <v>1.8317539548415369E-4</v>
      </c>
      <c r="T19" s="348">
        <f t="shared" si="8"/>
        <v>0.2</v>
      </c>
      <c r="U19" s="348">
        <f t="shared" si="9"/>
        <v>0.20018610892905803</v>
      </c>
      <c r="V19" s="4">
        <f t="shared" si="42"/>
        <v>0.17273050477893814</v>
      </c>
      <c r="W19" s="348">
        <f t="shared" si="10"/>
        <v>5.9671654562373547E-5</v>
      </c>
      <c r="X19" s="348">
        <f t="shared" si="43"/>
        <v>5.9671654562373547E-5</v>
      </c>
      <c r="Y19" s="4">
        <f t="shared" si="44"/>
        <v>0.11438505670106719</v>
      </c>
      <c r="Z19" s="348">
        <f t="shared" si="11"/>
        <v>1.3083941196506357E-5</v>
      </c>
      <c r="AA19" s="525">
        <f t="shared" si="45"/>
        <v>1.3083941196506357E-5</v>
      </c>
      <c r="AB19" s="348">
        <f t="shared" si="46"/>
        <v>0.16185335589625713</v>
      </c>
      <c r="AC19" s="348">
        <f t="shared" si="12"/>
        <v>3.1435810577856569E-4</v>
      </c>
      <c r="AD19" s="348">
        <f t="shared" si="13"/>
        <v>1.5355481904408442E-3</v>
      </c>
      <c r="AE19" s="348">
        <f t="shared" si="14"/>
        <v>4.9818377386263496E-3</v>
      </c>
      <c r="AF19" s="348">
        <f t="shared" si="15"/>
        <v>5.9308164511804023E-4</v>
      </c>
      <c r="AG19" s="348">
        <f t="shared" si="16"/>
        <v>7.4252178217685859E-3</v>
      </c>
      <c r="AH19" s="348">
        <f t="shared" si="17"/>
        <v>0.1616765860175996</v>
      </c>
      <c r="AI19" s="348">
        <f t="shared" si="18"/>
        <v>1.0717120571185575E-4</v>
      </c>
      <c r="AJ19" s="348">
        <f t="shared" si="19"/>
        <v>1.7857808451180401E-3</v>
      </c>
      <c r="AK19" s="348">
        <f t="shared" si="20"/>
        <v>1.8929850786346006E-3</v>
      </c>
      <c r="AL19" s="348">
        <f t="shared" si="21"/>
        <v>1.1926991999999998E-3</v>
      </c>
      <c r="AM19" s="348">
        <f t="shared" si="22"/>
        <v>1.5797179200000001E-2</v>
      </c>
      <c r="AN19" s="348">
        <f t="shared" si="23"/>
        <v>1.3083956820296692E-3</v>
      </c>
      <c r="AO19" s="348">
        <f t="shared" si="24"/>
        <v>1.452E-5</v>
      </c>
      <c r="AP19" s="348">
        <f t="shared" si="25"/>
        <v>6.6937199999999988E-2</v>
      </c>
      <c r="AQ19" s="348">
        <f t="shared" si="26"/>
        <v>4.7164980923076916E-2</v>
      </c>
      <c r="AR19" s="348">
        <f t="shared" si="27"/>
        <v>2.1419903999999993E-2</v>
      </c>
      <c r="AS19" s="348">
        <f t="shared" si="28"/>
        <v>6.6951719999999992E-2</v>
      </c>
      <c r="AT19" s="348">
        <f t="shared" si="29"/>
        <v>0.2948270615072498</v>
      </c>
      <c r="AU19">
        <f t="shared" si="30"/>
        <v>0.49499999999999994</v>
      </c>
      <c r="AV19" s="526">
        <f t="shared" si="47"/>
        <v>0.62671947331783895</v>
      </c>
      <c r="AW19" s="534">
        <f t="shared" si="31"/>
        <v>0.74975695593828062</v>
      </c>
      <c r="AX19" s="534">
        <f t="shared" si="32"/>
        <v>0.28921640653562825</v>
      </c>
      <c r="AY19" s="9"/>
      <c r="AZ19" s="4">
        <f t="shared" si="48"/>
        <v>62.671947331783898</v>
      </c>
      <c r="BA19" s="348">
        <f t="shared" si="33"/>
        <v>0.20018610892905803</v>
      </c>
      <c r="BB19" s="348">
        <f t="shared" si="34"/>
        <v>2.5115382100403188E-2</v>
      </c>
      <c r="BC19" s="348">
        <f t="shared" si="35"/>
        <v>1.7851356093768585E-2</v>
      </c>
      <c r="BD19" s="348">
        <f t="shared" si="36"/>
        <v>7.1060542146346006E-3</v>
      </c>
      <c r="BE19" s="348">
        <f t="shared" si="37"/>
        <v>1.3083956820296692E-3</v>
      </c>
      <c r="BK19" s="18"/>
      <c r="BL19" s="19"/>
    </row>
    <row r="20" spans="1:65" x14ac:dyDescent="0.25">
      <c r="A20" s="35" t="s">
        <v>82</v>
      </c>
      <c r="B20" s="39">
        <f>Ltc*1000000</f>
        <v>4000</v>
      </c>
      <c r="C20" s="428" t="s">
        <v>81</v>
      </c>
      <c r="D20" s="21" t="s">
        <v>97</v>
      </c>
      <c r="G20">
        <v>11</v>
      </c>
      <c r="H20" s="531">
        <f t="shared" si="0"/>
        <v>6.6</v>
      </c>
      <c r="I20" s="4">
        <f t="shared" si="1"/>
        <v>1</v>
      </c>
      <c r="J20" s="348">
        <f t="shared" si="38"/>
        <v>0.16500000000000001</v>
      </c>
      <c r="K20" s="348">
        <f t="shared" si="2"/>
        <v>0.16500000000000001</v>
      </c>
      <c r="L20" s="4">
        <f t="shared" si="3"/>
        <v>9.1666666666666674E-2</v>
      </c>
      <c r="M20" s="348">
        <f t="shared" si="4"/>
        <v>0.50060099307546024</v>
      </c>
      <c r="N20" s="4">
        <f t="shared" si="5"/>
        <v>0.5983791158596562</v>
      </c>
      <c r="O20" s="4">
        <f t="shared" si="39"/>
        <v>0.46418955792982808</v>
      </c>
      <c r="P20" s="4">
        <f t="shared" si="40"/>
        <v>-0.13418955792982809</v>
      </c>
      <c r="Q20" s="4">
        <f t="shared" si="6"/>
        <v>5.5680314493704604</v>
      </c>
      <c r="R20" s="4">
        <f t="shared" si="41"/>
        <v>0.23887890347359822</v>
      </c>
      <c r="S20" s="348">
        <f t="shared" si="7"/>
        <v>1.9972095683662032E-4</v>
      </c>
      <c r="T20" s="348">
        <f t="shared" si="8"/>
        <v>0.2</v>
      </c>
      <c r="U20" s="348">
        <f t="shared" si="9"/>
        <v>0.20020291973433191</v>
      </c>
      <c r="V20" s="4">
        <f t="shared" si="42"/>
        <v>0.1727371718095114</v>
      </c>
      <c r="W20" s="348">
        <f t="shared" si="10"/>
        <v>5.9676261049497315E-5</v>
      </c>
      <c r="X20" s="348">
        <f t="shared" si="43"/>
        <v>5.9676261049497315E-5</v>
      </c>
      <c r="Y20" s="4">
        <f t="shared" si="44"/>
        <v>0.11943936545545737</v>
      </c>
      <c r="Z20" s="348">
        <f t="shared" si="11"/>
        <v>1.4265762020402304E-5</v>
      </c>
      <c r="AA20" s="525">
        <f t="shared" si="45"/>
        <v>1.4265762020402304E-5</v>
      </c>
      <c r="AB20" s="348">
        <f t="shared" si="46"/>
        <v>0.16901437752062334</v>
      </c>
      <c r="AC20" s="348">
        <f t="shared" si="12"/>
        <v>3.4279031770420549E-4</v>
      </c>
      <c r="AD20" s="348">
        <f t="shared" si="13"/>
        <v>1.6891030094849286E-3</v>
      </c>
      <c r="AE20" s="348">
        <f t="shared" si="14"/>
        <v>1.2505465973153785E-2</v>
      </c>
      <c r="AF20" s="348">
        <f t="shared" si="15"/>
        <v>5.3349259463753203E-4</v>
      </c>
      <c r="AG20" s="348">
        <f t="shared" si="16"/>
        <v>1.507171985683965E-2</v>
      </c>
      <c r="AH20" s="348">
        <f t="shared" si="17"/>
        <v>0.16881134652642538</v>
      </c>
      <c r="AI20" s="348">
        <f t="shared" si="18"/>
        <v>1.1683880993586594E-4</v>
      </c>
      <c r="AJ20" s="348">
        <f t="shared" si="19"/>
        <v>1.8454617146375317E-3</v>
      </c>
      <c r="AK20" s="348">
        <f t="shared" si="20"/>
        <v>1.962337850904682E-3</v>
      </c>
      <c r="AL20" s="348">
        <f t="shared" si="21"/>
        <v>1.3119691199999998E-3</v>
      </c>
      <c r="AM20" s="348">
        <f t="shared" si="22"/>
        <v>1.7376897119999998E-2</v>
      </c>
      <c r="AN20" s="348">
        <f t="shared" si="23"/>
        <v>1.4265782631187164E-3</v>
      </c>
      <c r="AO20" s="348">
        <f t="shared" si="24"/>
        <v>1.452E-5</v>
      </c>
      <c r="AP20" s="348">
        <f t="shared" si="25"/>
        <v>6.6937199999999988E-2</v>
      </c>
      <c r="AQ20" s="348">
        <f t="shared" si="26"/>
        <v>4.7164980923076916E-2</v>
      </c>
      <c r="AR20" s="348">
        <f t="shared" si="27"/>
        <v>2.1419903999999993E-2</v>
      </c>
      <c r="AS20" s="348">
        <f t="shared" si="28"/>
        <v>6.6951719999999992E-2</v>
      </c>
      <c r="AT20" s="348">
        <f t="shared" si="29"/>
        <v>0.30437808396826482</v>
      </c>
      <c r="AU20">
        <f t="shared" si="30"/>
        <v>0.54449999999999998</v>
      </c>
      <c r="AV20" s="526">
        <f t="shared" si="47"/>
        <v>0.64143486595226562</v>
      </c>
      <c r="AW20" s="534">
        <f t="shared" si="31"/>
        <v>1.1146998221536653</v>
      </c>
      <c r="AX20" s="534">
        <f t="shared" si="32"/>
        <v>0.31325625575054056</v>
      </c>
      <c r="AY20" s="9"/>
      <c r="AZ20" s="4">
        <f t="shared" si="48"/>
        <v>64.143486595226562</v>
      </c>
      <c r="BA20" s="348">
        <f t="shared" si="33"/>
        <v>0.20020291973433191</v>
      </c>
      <c r="BB20" s="348">
        <f t="shared" si="34"/>
        <v>3.4410954827744332E-2</v>
      </c>
      <c r="BC20" s="348">
        <f t="shared" si="35"/>
        <v>2.654047195603965E-2</v>
      </c>
      <c r="BD20" s="348">
        <f t="shared" si="36"/>
        <v>7.6967139005046821E-3</v>
      </c>
      <c r="BE20" s="348">
        <f t="shared" si="37"/>
        <v>1.4265782631187164E-3</v>
      </c>
      <c r="BK20" s="18"/>
      <c r="BL20" s="19"/>
    </row>
    <row r="21" spans="1:65" x14ac:dyDescent="0.25">
      <c r="A21" s="25" t="s">
        <v>129</v>
      </c>
      <c r="B21" s="39">
        <f>ThetaCa</f>
        <v>20</v>
      </c>
      <c r="C21" s="428" t="s">
        <v>202</v>
      </c>
      <c r="D21" s="26" t="s">
        <v>130</v>
      </c>
      <c r="G21">
        <v>12</v>
      </c>
      <c r="H21" s="531">
        <f t="shared" si="0"/>
        <v>6.6</v>
      </c>
      <c r="I21" s="4">
        <f t="shared" si="1"/>
        <v>1</v>
      </c>
      <c r="J21" s="348">
        <f t="shared" si="38"/>
        <v>0.18</v>
      </c>
      <c r="K21" s="348">
        <f t="shared" si="2"/>
        <v>0.18</v>
      </c>
      <c r="L21" s="4">
        <f t="shared" si="3"/>
        <v>0.1</v>
      </c>
      <c r="M21" s="348">
        <f t="shared" si="4"/>
        <v>0.50065560334135073</v>
      </c>
      <c r="N21" s="4">
        <f t="shared" si="5"/>
        <v>0.59840219685362517</v>
      </c>
      <c r="O21" s="4">
        <f t="shared" si="39"/>
        <v>0.47920109842681258</v>
      </c>
      <c r="P21" s="4">
        <f t="shared" si="40"/>
        <v>-0.11920109842681259</v>
      </c>
      <c r="Q21" s="4">
        <f t="shared" si="6"/>
        <v>4.9461036691623486</v>
      </c>
      <c r="R21" s="4">
        <f t="shared" si="41"/>
        <v>0.2494803247417928</v>
      </c>
      <c r="S21" s="348">
        <f t="shared" si="7"/>
        <v>2.1784151351644638E-4</v>
      </c>
      <c r="T21" s="348">
        <f t="shared" si="8"/>
        <v>0.2</v>
      </c>
      <c r="U21" s="348">
        <f t="shared" si="9"/>
        <v>0.20022133083493626</v>
      </c>
      <c r="V21" s="4">
        <f t="shared" si="42"/>
        <v>0.17274383471855198</v>
      </c>
      <c r="W21" s="348">
        <f t="shared" si="10"/>
        <v>5.9680864866540815E-5</v>
      </c>
      <c r="X21" s="348">
        <f t="shared" si="43"/>
        <v>5.9680864866540815E-5</v>
      </c>
      <c r="Y21" s="4">
        <f t="shared" si="44"/>
        <v>0.12474005514027961</v>
      </c>
      <c r="Z21" s="348">
        <f t="shared" si="11"/>
        <v>1.5560081356399997E-5</v>
      </c>
      <c r="AA21" s="525">
        <f t="shared" si="45"/>
        <v>1.5560081356399997E-5</v>
      </c>
      <c r="AB21" s="348">
        <f t="shared" si="46"/>
        <v>0.17652484599088469</v>
      </c>
      <c r="AC21" s="348">
        <f t="shared" si="12"/>
        <v>3.7393225502526674E-4</v>
      </c>
      <c r="AD21" s="348">
        <f t="shared" si="13"/>
        <v>1.8426578285290131E-3</v>
      </c>
      <c r="AE21" s="348">
        <f t="shared" si="14"/>
        <v>1.9989869136286694E-2</v>
      </c>
      <c r="AF21" s="348">
        <f t="shared" si="15"/>
        <v>4.7390351577593538E-4</v>
      </c>
      <c r="AG21" s="348">
        <f t="shared" si="16"/>
        <v>2.2681787619551662E-2</v>
      </c>
      <c r="AH21" s="348">
        <f t="shared" si="17"/>
        <v>0.17629353698069827</v>
      </c>
      <c r="AI21" s="348">
        <f t="shared" si="18"/>
        <v>1.2742558584277579E-4</v>
      </c>
      <c r="AJ21" s="348">
        <f t="shared" si="19"/>
        <v>1.9051425557759351E-3</v>
      </c>
      <c r="AK21" s="348">
        <f t="shared" si="20"/>
        <v>2.0326103078865602E-3</v>
      </c>
      <c r="AL21" s="348">
        <f t="shared" si="21"/>
        <v>1.4312390399999998E-3</v>
      </c>
      <c r="AM21" s="348">
        <f t="shared" si="22"/>
        <v>1.8956615039999999E-2</v>
      </c>
      <c r="AN21" s="348">
        <f t="shared" si="23"/>
        <v>1.5560108108317598E-3</v>
      </c>
      <c r="AO21" s="348">
        <f t="shared" si="24"/>
        <v>1.452E-5</v>
      </c>
      <c r="AP21" s="348">
        <f t="shared" si="25"/>
        <v>6.6937199999999988E-2</v>
      </c>
      <c r="AQ21" s="348">
        <f t="shared" si="26"/>
        <v>4.7164980923076916E-2</v>
      </c>
      <c r="AR21" s="348">
        <f t="shared" si="27"/>
        <v>2.1419903999999993E-2</v>
      </c>
      <c r="AS21" s="348">
        <f t="shared" si="28"/>
        <v>6.6951719999999992E-2</v>
      </c>
      <c r="AT21" s="348">
        <f t="shared" si="29"/>
        <v>0.31390655459942923</v>
      </c>
      <c r="AU21">
        <f t="shared" si="30"/>
        <v>0.59399999999999997</v>
      </c>
      <c r="AV21" s="526">
        <f t="shared" si="47"/>
        <v>0.65425235338462162</v>
      </c>
      <c r="AW21" s="534">
        <f t="shared" si="31"/>
        <v>1.47811244892997</v>
      </c>
      <c r="AX21" s="534">
        <f t="shared" si="32"/>
        <v>0.33733353613322303</v>
      </c>
      <c r="AY21" s="9"/>
      <c r="AZ21" s="4">
        <f t="shared" si="48"/>
        <v>65.425235338462159</v>
      </c>
      <c r="BA21" s="348">
        <f t="shared" si="33"/>
        <v>0.20022133083493626</v>
      </c>
      <c r="BB21" s="348">
        <f t="shared" si="34"/>
        <v>4.3671012967438222E-2</v>
      </c>
      <c r="BC21" s="348">
        <f t="shared" si="35"/>
        <v>3.5193153545951664E-2</v>
      </c>
      <c r="BD21" s="348">
        <f t="shared" si="36"/>
        <v>8.2882932710865598E-3</v>
      </c>
      <c r="BE21" s="348">
        <f t="shared" si="37"/>
        <v>1.5560108108317598E-3</v>
      </c>
      <c r="BK21" s="18"/>
      <c r="BL21" s="19"/>
    </row>
    <row r="22" spans="1:65" x14ac:dyDescent="0.25">
      <c r="A22" s="36" t="s">
        <v>57</v>
      </c>
      <c r="B22" s="39">
        <f>Cin*1000000</f>
        <v>30</v>
      </c>
      <c r="C22" s="430" t="s">
        <v>451</v>
      </c>
      <c r="D22" s="427" t="s">
        <v>468</v>
      </c>
      <c r="G22">
        <v>13</v>
      </c>
      <c r="H22" s="531">
        <f t="shared" si="0"/>
        <v>6.6</v>
      </c>
      <c r="I22" s="4">
        <f t="shared" si="1"/>
        <v>1</v>
      </c>
      <c r="J22" s="348">
        <f t="shared" si="38"/>
        <v>0.19500000000000001</v>
      </c>
      <c r="K22" s="348">
        <f t="shared" si="2"/>
        <v>0.19500000000000001</v>
      </c>
      <c r="L22" s="4">
        <f t="shared" si="3"/>
        <v>0.10833333333333334</v>
      </c>
      <c r="M22" s="348">
        <f t="shared" si="4"/>
        <v>0.50071020936467781</v>
      </c>
      <c r="N22" s="4">
        <f t="shared" si="5"/>
        <v>0.59842526357185022</v>
      </c>
      <c r="O22" s="4">
        <f t="shared" si="39"/>
        <v>0.49421263178592512</v>
      </c>
      <c r="P22" s="4">
        <f t="shared" si="40"/>
        <v>-0.1042126317859251</v>
      </c>
      <c r="Q22" s="4">
        <f t="shared" si="6"/>
        <v>4.3241755927769754</v>
      </c>
      <c r="R22" s="4">
        <f t="shared" si="41"/>
        <v>0.26051436238095055</v>
      </c>
      <c r="S22" s="348">
        <f t="shared" si="7"/>
        <v>2.3753706552363628E-4</v>
      </c>
      <c r="T22" s="348">
        <f t="shared" si="8"/>
        <v>0.2</v>
      </c>
      <c r="U22" s="348">
        <f t="shared" si="9"/>
        <v>0.20024134224479032</v>
      </c>
      <c r="V22" s="4">
        <f t="shared" si="42"/>
        <v>0.17275049350654026</v>
      </c>
      <c r="W22" s="348">
        <f t="shared" si="10"/>
        <v>5.9685466013506418E-5</v>
      </c>
      <c r="X22" s="348">
        <f t="shared" si="43"/>
        <v>5.9685466013506418E-5</v>
      </c>
      <c r="Y22" s="4">
        <f t="shared" si="44"/>
        <v>0.13025704978765715</v>
      </c>
      <c r="Z22" s="348">
        <f t="shared" si="11"/>
        <v>1.6966899019384192E-5</v>
      </c>
      <c r="AA22" s="525">
        <f t="shared" si="45"/>
        <v>1.6966899019384192E-5</v>
      </c>
      <c r="AB22" s="348">
        <f t="shared" si="46"/>
        <v>0.18434225452380001</v>
      </c>
      <c r="AC22" s="348">
        <f t="shared" si="12"/>
        <v>4.0778480163500963E-4</v>
      </c>
      <c r="AD22" s="348">
        <f t="shared" si="13"/>
        <v>1.9962126475730974E-3</v>
      </c>
      <c r="AE22" s="348">
        <f t="shared" si="14"/>
        <v>2.7435047171561408E-2</v>
      </c>
      <c r="AF22" s="348">
        <f t="shared" si="15"/>
        <v>4.1431440853655809E-4</v>
      </c>
      <c r="AG22" s="348">
        <f t="shared" si="16"/>
        <v>3.0255431763786422E-2</v>
      </c>
      <c r="AH22" s="348">
        <f t="shared" si="17"/>
        <v>0.184080597032484</v>
      </c>
      <c r="AI22" s="348">
        <f t="shared" si="18"/>
        <v>1.3893123143572658E-4</v>
      </c>
      <c r="AJ22" s="348">
        <f t="shared" si="19"/>
        <v>1.9648233685365577E-3</v>
      </c>
      <c r="AK22" s="348">
        <f t="shared" si="20"/>
        <v>2.1038021837794974E-3</v>
      </c>
      <c r="AL22" s="348">
        <f t="shared" si="21"/>
        <v>1.5505089599999998E-3</v>
      </c>
      <c r="AM22" s="348">
        <f t="shared" si="22"/>
        <v>2.0536332959999997E-2</v>
      </c>
      <c r="AN22" s="348">
        <f t="shared" si="23"/>
        <v>1.6966933251688306E-3</v>
      </c>
      <c r="AO22" s="348">
        <f t="shared" si="24"/>
        <v>1.452E-5</v>
      </c>
      <c r="AP22" s="348">
        <f t="shared" si="25"/>
        <v>6.6937199999999988E-2</v>
      </c>
      <c r="AQ22" s="348">
        <f t="shared" si="26"/>
        <v>4.7164980923076916E-2</v>
      </c>
      <c r="AR22" s="348">
        <f t="shared" si="27"/>
        <v>2.1419903999999993E-2</v>
      </c>
      <c r="AS22" s="348">
        <f t="shared" si="28"/>
        <v>6.6951719999999992E-2</v>
      </c>
      <c r="AT22" s="348">
        <f t="shared" si="29"/>
        <v>0.32341248380255794</v>
      </c>
      <c r="AU22">
        <f t="shared" si="30"/>
        <v>0.64349999999999996</v>
      </c>
      <c r="AV22" s="526">
        <f t="shared" si="47"/>
        <v>0.66552041759696812</v>
      </c>
      <c r="AW22" s="534">
        <f t="shared" si="31"/>
        <v>1.8399952837302296</v>
      </c>
      <c r="AX22" s="534">
        <f t="shared" si="32"/>
        <v>0.36144823686558553</v>
      </c>
      <c r="AY22" s="9"/>
      <c r="AZ22" s="4">
        <f t="shared" si="48"/>
        <v>66.552041759696806</v>
      </c>
      <c r="BA22" s="348">
        <f t="shared" si="33"/>
        <v>0.20024134224479032</v>
      </c>
      <c r="BB22" s="348">
        <f t="shared" si="34"/>
        <v>5.2895566907565916E-2</v>
      </c>
      <c r="BC22" s="348">
        <f t="shared" si="35"/>
        <v>4.3809411517386418E-2</v>
      </c>
      <c r="BD22" s="348">
        <f t="shared" si="36"/>
        <v>8.8807920605794965E-3</v>
      </c>
      <c r="BE22" s="348">
        <f t="shared" si="37"/>
        <v>1.6966933251688306E-3</v>
      </c>
      <c r="BK22" s="18"/>
      <c r="BL22" s="19"/>
    </row>
    <row r="23" spans="1:65" x14ac:dyDescent="0.25">
      <c r="A23" s="36" t="s">
        <v>86</v>
      </c>
      <c r="B23" s="39">
        <f>RCinEsr*1000</f>
        <v>1</v>
      </c>
      <c r="C23" s="429" t="s">
        <v>450</v>
      </c>
      <c r="D23" s="427" t="s">
        <v>464</v>
      </c>
      <c r="G23">
        <v>14</v>
      </c>
      <c r="H23" s="531">
        <f t="shared" si="0"/>
        <v>6.6</v>
      </c>
      <c r="I23" s="4">
        <f t="shared" si="1"/>
        <v>1</v>
      </c>
      <c r="J23" s="348">
        <f t="shared" si="38"/>
        <v>0.21</v>
      </c>
      <c r="K23" s="348">
        <f t="shared" si="2"/>
        <v>0.21</v>
      </c>
      <c r="L23" s="4">
        <f t="shared" si="3"/>
        <v>0.11666666666666667</v>
      </c>
      <c r="M23" s="348">
        <f t="shared" si="4"/>
        <v>0.50076481114593563</v>
      </c>
      <c r="N23" s="4">
        <f t="shared" si="5"/>
        <v>0.59844831601599457</v>
      </c>
      <c r="O23" s="4">
        <f t="shared" si="39"/>
        <v>0.50922415800799725</v>
      </c>
      <c r="P23" s="4">
        <f t="shared" si="40"/>
        <v>-8.9224158007997295E-2</v>
      </c>
      <c r="Q23" s="4">
        <f t="shared" si="6"/>
        <v>3.7022472202488506</v>
      </c>
      <c r="R23" s="4">
        <f t="shared" si="41"/>
        <v>0.27192835866308301</v>
      </c>
      <c r="S23" s="348">
        <f t="shared" si="7"/>
        <v>2.588076128581941E-4</v>
      </c>
      <c r="T23" s="348">
        <f t="shared" si="8"/>
        <v>0.2</v>
      </c>
      <c r="U23" s="348">
        <f t="shared" si="9"/>
        <v>0.20026295397902327</v>
      </c>
      <c r="V23" s="4">
        <f t="shared" si="42"/>
        <v>0.17275714817395635</v>
      </c>
      <c r="W23" s="348">
        <f t="shared" si="10"/>
        <v>5.9690064490396624E-5</v>
      </c>
      <c r="X23" s="348">
        <f t="shared" si="43"/>
        <v>5.9690064490396624E-5</v>
      </c>
      <c r="Y23" s="4">
        <f t="shared" si="44"/>
        <v>0.13596402027073787</v>
      </c>
      <c r="Z23" s="348">
        <f t="shared" si="11"/>
        <v>1.8486214808181617E-5</v>
      </c>
      <c r="AA23" s="525">
        <f t="shared" si="45"/>
        <v>1.8486214808181617E-5</v>
      </c>
      <c r="AB23" s="348">
        <f t="shared" si="46"/>
        <v>0.19242938992640093</v>
      </c>
      <c r="AC23" s="348">
        <f t="shared" si="12"/>
        <v>4.4434884128936224E-4</v>
      </c>
      <c r="AD23" s="348">
        <f t="shared" si="13"/>
        <v>2.1497674666171819E-3</v>
      </c>
      <c r="AE23" s="348">
        <f t="shared" si="14"/>
        <v>3.4841000022523091E-2</v>
      </c>
      <c r="AF23" s="348">
        <f t="shared" si="15"/>
        <v>3.5472527292270653E-4</v>
      </c>
      <c r="AG23" s="348">
        <f t="shared" si="16"/>
        <v>3.7792662848511259E-2</v>
      </c>
      <c r="AH23" s="348">
        <f t="shared" si="17"/>
        <v>0.19213527041579706</v>
      </c>
      <c r="AI23" s="348">
        <f t="shared" si="18"/>
        <v>1.5135544476478096E-4</v>
      </c>
      <c r="AJ23" s="348">
        <f t="shared" si="19"/>
        <v>2.0245041529227061E-3</v>
      </c>
      <c r="AK23" s="348">
        <f t="shared" si="20"/>
        <v>2.1759132136391166E-3</v>
      </c>
      <c r="AL23" s="348">
        <f t="shared" si="21"/>
        <v>1.6697788799999998E-3</v>
      </c>
      <c r="AM23" s="348">
        <f t="shared" si="22"/>
        <v>2.2116050879999995E-2</v>
      </c>
      <c r="AN23" s="348">
        <f t="shared" si="23"/>
        <v>1.8486258061299579E-3</v>
      </c>
      <c r="AO23" s="348">
        <f t="shared" si="24"/>
        <v>1.452E-5</v>
      </c>
      <c r="AP23" s="348">
        <f t="shared" si="25"/>
        <v>6.6937199999999988E-2</v>
      </c>
      <c r="AQ23" s="348">
        <f t="shared" si="26"/>
        <v>4.7164980923076916E-2</v>
      </c>
      <c r="AR23" s="348">
        <f t="shared" si="27"/>
        <v>2.1419903999999993E-2</v>
      </c>
      <c r="AS23" s="348">
        <f t="shared" si="28"/>
        <v>6.6951719999999992E-2</v>
      </c>
      <c r="AT23" s="348">
        <f t="shared" si="29"/>
        <v>0.33289588188660213</v>
      </c>
      <c r="AU23">
        <f t="shared" si="30"/>
        <v>0.69299999999999995</v>
      </c>
      <c r="AV23" s="526">
        <f t="shared" si="47"/>
        <v>0.67550714671510981</v>
      </c>
      <c r="AW23" s="534">
        <f t="shared" si="31"/>
        <v>2.2003487700310727</v>
      </c>
      <c r="AX23" s="534">
        <f t="shared" si="32"/>
        <v>0.38560034716439201</v>
      </c>
      <c r="AY23" s="9"/>
      <c r="AZ23" s="4">
        <f t="shared" si="48"/>
        <v>67.550714671510974</v>
      </c>
      <c r="BA23" s="348">
        <f t="shared" si="33"/>
        <v>0.20026295397902327</v>
      </c>
      <c r="BB23" s="348">
        <f t="shared" si="34"/>
        <v>6.2084626942150369E-2</v>
      </c>
      <c r="BC23" s="348">
        <f t="shared" si="35"/>
        <v>5.2389256429311255E-2</v>
      </c>
      <c r="BD23" s="348">
        <f t="shared" si="36"/>
        <v>9.4742100040391148E-3</v>
      </c>
      <c r="BE23" s="348">
        <f t="shared" si="37"/>
        <v>1.8486258061299579E-3</v>
      </c>
      <c r="BK23" s="18"/>
      <c r="BL23" s="19"/>
    </row>
    <row r="24" spans="1:65" x14ac:dyDescent="0.25">
      <c r="A24" s="35" t="s">
        <v>25</v>
      </c>
      <c r="B24" s="39">
        <f>Cout*1000000</f>
        <v>200</v>
      </c>
      <c r="C24" s="428" t="s">
        <v>451</v>
      </c>
      <c r="D24" s="427" t="s">
        <v>467</v>
      </c>
      <c r="G24">
        <v>15</v>
      </c>
      <c r="H24" s="531">
        <f t="shared" si="0"/>
        <v>6.6</v>
      </c>
      <c r="I24" s="4">
        <f t="shared" si="1"/>
        <v>1</v>
      </c>
      <c r="J24" s="348">
        <f t="shared" si="38"/>
        <v>0.22500000000000001</v>
      </c>
      <c r="K24" s="348">
        <f t="shared" si="2"/>
        <v>0.22500000000000001</v>
      </c>
      <c r="L24" s="4">
        <f t="shared" si="3"/>
        <v>0.125</v>
      </c>
      <c r="M24" s="348">
        <f t="shared" si="4"/>
        <v>0.50081940868561847</v>
      </c>
      <c r="N24" s="4">
        <f t="shared" si="5"/>
        <v>0.59847135418772168</v>
      </c>
      <c r="O24" s="4">
        <f t="shared" si="39"/>
        <v>0.52423567709386087</v>
      </c>
      <c r="P24" s="4">
        <f t="shared" si="40"/>
        <v>-7.4235677093860836E-2</v>
      </c>
      <c r="Q24" s="4">
        <f t="shared" si="6"/>
        <v>3.0803185516124829</v>
      </c>
      <c r="R24" s="4">
        <f t="shared" si="41"/>
        <v>0.28367645328544122</v>
      </c>
      <c r="S24" s="348">
        <f t="shared" si="7"/>
        <v>2.8165315552012492E-4</v>
      </c>
      <c r="T24" s="348">
        <f t="shared" si="8"/>
        <v>0.2</v>
      </c>
      <c r="U24" s="348">
        <f t="shared" si="9"/>
        <v>0.20028616605397423</v>
      </c>
      <c r="V24" s="4">
        <f t="shared" si="42"/>
        <v>0.1727637987212805</v>
      </c>
      <c r="W24" s="348">
        <f t="shared" si="10"/>
        <v>5.9694660297214246E-5</v>
      </c>
      <c r="X24" s="348">
        <f t="shared" si="43"/>
        <v>5.9694660297214246E-5</v>
      </c>
      <c r="Y24" s="4">
        <f t="shared" si="44"/>
        <v>0.14183803617354318</v>
      </c>
      <c r="Z24" s="348">
        <f t="shared" si="11"/>
        <v>2.0118028505567345E-5</v>
      </c>
      <c r="AA24" s="525">
        <f t="shared" si="45"/>
        <v>2.0118028505567345E-5</v>
      </c>
      <c r="AB24" s="348">
        <f t="shared" si="46"/>
        <v>0.20075384130964788</v>
      </c>
      <c r="AC24" s="348">
        <f t="shared" si="12"/>
        <v>4.836252576069514E-4</v>
      </c>
      <c r="AD24" s="348">
        <f t="shared" si="13"/>
        <v>2.3033222856612664E-3</v>
      </c>
      <c r="AE24" s="348">
        <f t="shared" si="14"/>
        <v>4.2207727632725595E-2</v>
      </c>
      <c r="AF24" s="348">
        <f t="shared" si="15"/>
        <v>2.9513610893768715E-4</v>
      </c>
      <c r="AG24" s="348">
        <f t="shared" si="16"/>
        <v>4.5293491337769415E-2</v>
      </c>
      <c r="AH24" s="348">
        <f t="shared" si="17"/>
        <v>0.20042511157045126</v>
      </c>
      <c r="AI24" s="348">
        <f t="shared" si="18"/>
        <v>1.6469792392691409E-4</v>
      </c>
      <c r="AJ24" s="348">
        <f t="shared" si="19"/>
        <v>2.084184908937687E-3</v>
      </c>
      <c r="AK24" s="348">
        <f t="shared" si="20"/>
        <v>2.2489431333765591E-3</v>
      </c>
      <c r="AL24" s="348">
        <f t="shared" si="21"/>
        <v>1.7890487999999997E-3</v>
      </c>
      <c r="AM24" s="348">
        <f t="shared" si="22"/>
        <v>2.3695768799999996E-2</v>
      </c>
      <c r="AN24" s="348">
        <f t="shared" si="23"/>
        <v>2.0118082537151781E-3</v>
      </c>
      <c r="AO24" s="348">
        <f t="shared" si="24"/>
        <v>1.452E-5</v>
      </c>
      <c r="AP24" s="348">
        <f t="shared" si="25"/>
        <v>6.6937199999999988E-2</v>
      </c>
      <c r="AQ24" s="348">
        <f t="shared" si="26"/>
        <v>4.7164980923076916E-2</v>
      </c>
      <c r="AR24" s="348">
        <f t="shared" si="27"/>
        <v>2.1419903999999993E-2</v>
      </c>
      <c r="AS24" s="348">
        <f t="shared" si="28"/>
        <v>6.6951719999999992E-2</v>
      </c>
      <c r="AT24" s="348">
        <f t="shared" si="29"/>
        <v>0.34235675906763813</v>
      </c>
      <c r="AU24">
        <f t="shared" si="30"/>
        <v>0.74249999999999994</v>
      </c>
      <c r="AV24" s="526">
        <f t="shared" si="47"/>
        <v>0.68442215416358665</v>
      </c>
      <c r="AW24" s="534">
        <f t="shared" si="31"/>
        <v>2.5591733473223153</v>
      </c>
      <c r="AX24" s="534">
        <f t="shared" si="32"/>
        <v>0.40978985628122594</v>
      </c>
      <c r="AY24" s="9"/>
      <c r="AZ24" s="4">
        <f t="shared" si="48"/>
        <v>68.442215416358664</v>
      </c>
      <c r="BA24" s="348">
        <f t="shared" si="33"/>
        <v>0.20028616605397423</v>
      </c>
      <c r="BB24" s="348">
        <f t="shared" si="34"/>
        <v>7.1238203271145967E-2</v>
      </c>
      <c r="BC24" s="348">
        <f t="shared" si="35"/>
        <v>6.0932698745769412E-2</v>
      </c>
      <c r="BD24" s="348">
        <f t="shared" si="36"/>
        <v>1.0068546837376558E-2</v>
      </c>
      <c r="BE24" s="348">
        <f t="shared" si="37"/>
        <v>2.0118082537151781E-3</v>
      </c>
      <c r="BK24" s="18"/>
      <c r="BL24" s="19"/>
    </row>
    <row r="25" spans="1:65" x14ac:dyDescent="0.25">
      <c r="A25" s="35" t="s">
        <v>85</v>
      </c>
      <c r="B25" s="40">
        <f>Cout_ESR*1000</f>
        <v>2</v>
      </c>
      <c r="C25" s="429" t="s">
        <v>450</v>
      </c>
      <c r="D25" s="427" t="s">
        <v>466</v>
      </c>
      <c r="G25">
        <v>16</v>
      </c>
      <c r="H25" s="531">
        <f t="shared" si="0"/>
        <v>6.6</v>
      </c>
      <c r="I25" s="4">
        <f t="shared" si="1"/>
        <v>1</v>
      </c>
      <c r="J25" s="348">
        <f t="shared" si="38"/>
        <v>0.24</v>
      </c>
      <c r="K25" s="348">
        <f t="shared" si="2"/>
        <v>0.24</v>
      </c>
      <c r="L25" s="4">
        <f t="shared" si="3"/>
        <v>0.13333333333333333</v>
      </c>
      <c r="M25" s="348">
        <f t="shared" si="4"/>
        <v>0.50087400198422072</v>
      </c>
      <c r="N25" s="4">
        <f t="shared" si="5"/>
        <v>0.59849437808869443</v>
      </c>
      <c r="O25" s="4">
        <f t="shared" si="39"/>
        <v>0.53924718904434721</v>
      </c>
      <c r="P25" s="4">
        <f t="shared" si="40"/>
        <v>-5.9247189044347226E-2</v>
      </c>
      <c r="Q25" s="4">
        <f t="shared" si="6"/>
        <v>2.4583895869023746</v>
      </c>
      <c r="R25" s="4">
        <f t="shared" si="41"/>
        <v>0.29571883050793552</v>
      </c>
      <c r="S25" s="348">
        <f t="shared" si="7"/>
        <v>3.0607369350943382E-4</v>
      </c>
      <c r="T25" s="348">
        <f t="shared" si="8"/>
        <v>0.2</v>
      </c>
      <c r="U25" s="348">
        <f t="shared" si="9"/>
        <v>0.20031097848719234</v>
      </c>
      <c r="V25" s="4">
        <f t="shared" si="42"/>
        <v>0.1727704451489927</v>
      </c>
      <c r="W25" s="348">
        <f t="shared" si="10"/>
        <v>5.9699253433962197E-5</v>
      </c>
      <c r="X25" s="348">
        <f t="shared" si="43"/>
        <v>5.9699253433962197E-5</v>
      </c>
      <c r="Y25" s="4">
        <f t="shared" si="44"/>
        <v>0.14785918936025216</v>
      </c>
      <c r="Z25" s="348">
        <f t="shared" si="11"/>
        <v>2.1862339878270905E-5</v>
      </c>
      <c r="AA25" s="525">
        <f t="shared" si="45"/>
        <v>2.1862339878270905E-5</v>
      </c>
      <c r="AB25" s="348">
        <f t="shared" si="46"/>
        <v>0.2092874685827141</v>
      </c>
      <c r="AC25" s="348">
        <f t="shared" si="12"/>
        <v>5.256149340691265E-4</v>
      </c>
      <c r="AD25" s="348">
        <f t="shared" si="13"/>
        <v>2.4568771047053508E-3</v>
      </c>
      <c r="AE25" s="348">
        <f t="shared" si="14"/>
        <v>4.9535229945731542E-2</v>
      </c>
      <c r="AF25" s="348">
        <f t="shared" si="15"/>
        <v>2.3554691658480567E-4</v>
      </c>
      <c r="AG25" s="348">
        <f t="shared" si="16"/>
        <v>5.275792760066992E-2</v>
      </c>
      <c r="AH25" s="348">
        <f t="shared" si="17"/>
        <v>0.20892195243971023</v>
      </c>
      <c r="AI25" s="348">
        <f t="shared" si="18"/>
        <v>1.7895836706600422E-4</v>
      </c>
      <c r="AJ25" s="348">
        <f t="shared" si="19"/>
        <v>2.1438656365848053E-3</v>
      </c>
      <c r="AK25" s="348">
        <f t="shared" si="20"/>
        <v>2.3228916797576357E-3</v>
      </c>
      <c r="AL25" s="348">
        <f t="shared" si="21"/>
        <v>1.9083187199999997E-3</v>
      </c>
      <c r="AM25" s="348">
        <f t="shared" si="22"/>
        <v>2.5275486719999993E-2</v>
      </c>
      <c r="AN25" s="348">
        <f t="shared" si="23"/>
        <v>2.1862406679245272E-3</v>
      </c>
      <c r="AO25" s="348">
        <f t="shared" si="24"/>
        <v>1.452E-5</v>
      </c>
      <c r="AP25" s="348">
        <f t="shared" si="25"/>
        <v>6.6937199999999988E-2</v>
      </c>
      <c r="AQ25" s="348">
        <f t="shared" si="26"/>
        <v>4.7164980923076916E-2</v>
      </c>
      <c r="AR25" s="348">
        <f t="shared" si="27"/>
        <v>2.1419903999999993E-2</v>
      </c>
      <c r="AS25" s="348">
        <f t="shared" si="28"/>
        <v>6.6951719999999992E-2</v>
      </c>
      <c r="AT25" s="348">
        <f t="shared" si="29"/>
        <v>0.35179512546885672</v>
      </c>
      <c r="AU25">
        <f t="shared" si="30"/>
        <v>0.79199999999999993</v>
      </c>
      <c r="AV25" s="526">
        <f t="shared" si="47"/>
        <v>0.69243169721968245</v>
      </c>
      <c r="AW25" s="534">
        <f t="shared" si="31"/>
        <v>2.9164694511065368</v>
      </c>
      <c r="AX25" s="534">
        <f t="shared" si="32"/>
        <v>0.43401675350245578</v>
      </c>
      <c r="AY25" s="9"/>
      <c r="AZ25" s="4">
        <f t="shared" si="48"/>
        <v>69.243169721968243</v>
      </c>
      <c r="BA25" s="348">
        <f t="shared" si="33"/>
        <v>0.20031097848719234</v>
      </c>
      <c r="BB25" s="348">
        <f t="shared" si="34"/>
        <v>8.0356306000427549E-2</v>
      </c>
      <c r="BC25" s="348">
        <f t="shared" si="35"/>
        <v>6.9439748835869924E-2</v>
      </c>
      <c r="BD25" s="348">
        <f t="shared" si="36"/>
        <v>1.0663802297357635E-2</v>
      </c>
      <c r="BE25" s="348">
        <f t="shared" si="37"/>
        <v>2.1862406679245272E-3</v>
      </c>
    </row>
    <row r="26" spans="1:65" ht="13" x14ac:dyDescent="0.3">
      <c r="A26" s="24" t="s">
        <v>112</v>
      </c>
      <c r="B26" s="37" t="s">
        <v>111</v>
      </c>
      <c r="C26" s="24" t="s">
        <v>76</v>
      </c>
      <c r="D26" s="17" t="s">
        <v>107</v>
      </c>
      <c r="G26">
        <v>17</v>
      </c>
      <c r="H26" s="531">
        <f t="shared" si="0"/>
        <v>6.6</v>
      </c>
      <c r="I26" s="4">
        <f t="shared" si="1"/>
        <v>1</v>
      </c>
      <c r="J26" s="348">
        <f t="shared" si="38"/>
        <v>0.255</v>
      </c>
      <c r="K26" s="348">
        <f t="shared" si="2"/>
        <v>0.255</v>
      </c>
      <c r="L26" s="4">
        <f t="shared" si="3"/>
        <v>0.14166666666666666</v>
      </c>
      <c r="M26" s="348">
        <f t="shared" si="4"/>
        <v>0.50092859104223642</v>
      </c>
      <c r="N26" s="4">
        <f t="shared" si="5"/>
        <v>0.59851738772057583</v>
      </c>
      <c r="O26" s="4">
        <f t="shared" si="39"/>
        <v>0.55425869386028792</v>
      </c>
      <c r="P26" s="4">
        <f t="shared" si="40"/>
        <v>-4.4258693860287912E-2</v>
      </c>
      <c r="Q26" s="4">
        <f t="shared" si="6"/>
        <v>1.8364603261530255</v>
      </c>
      <c r="R26" s="4">
        <f t="shared" si="41"/>
        <v>0.30802097647777471</v>
      </c>
      <c r="S26" s="348">
        <f t="shared" si="7"/>
        <v>3.3206922682612645E-4</v>
      </c>
      <c r="T26" s="348">
        <f t="shared" si="8"/>
        <v>0.2</v>
      </c>
      <c r="U26" s="348">
        <f t="shared" si="9"/>
        <v>0.20033739129743675</v>
      </c>
      <c r="V26" s="4">
        <f t="shared" si="42"/>
        <v>0.17277708745757306</v>
      </c>
      <c r="W26" s="348">
        <f t="shared" si="10"/>
        <v>5.9703843900643702E-5</v>
      </c>
      <c r="X26" s="348">
        <f t="shared" si="43"/>
        <v>5.9703843900643702E-5</v>
      </c>
      <c r="Y26" s="4">
        <f t="shared" si="44"/>
        <v>0.15401022263792299</v>
      </c>
      <c r="Z26" s="348">
        <f t="shared" si="11"/>
        <v>2.3719148676982609E-5</v>
      </c>
      <c r="AA26" s="525">
        <f t="shared" si="45"/>
        <v>2.3719148676982609E-5</v>
      </c>
      <c r="AB26" s="348">
        <f t="shared" si="46"/>
        <v>0.21800587798267954</v>
      </c>
      <c r="AC26" s="348">
        <f t="shared" si="12"/>
        <v>5.703187540199875E-4</v>
      </c>
      <c r="AD26" s="348">
        <f t="shared" si="13"/>
        <v>2.6104319237494353E-3</v>
      </c>
      <c r="AE26" s="348">
        <f t="shared" si="14"/>
        <v>5.6823506905112245E-2</v>
      </c>
      <c r="AF26" s="348">
        <f t="shared" si="15"/>
        <v>1.7595769586736766E-4</v>
      </c>
      <c r="AG26" s="348">
        <f t="shared" si="16"/>
        <v>6.0185981911376842E-2</v>
      </c>
      <c r="AH26" s="348">
        <f t="shared" si="17"/>
        <v>0.21760137663931009</v>
      </c>
      <c r="AI26" s="348">
        <f t="shared" si="18"/>
        <v>1.941364723728238E-4</v>
      </c>
      <c r="AJ26" s="348">
        <f t="shared" si="19"/>
        <v>2.2035463358673676E-3</v>
      </c>
      <c r="AK26" s="348">
        <f t="shared" si="20"/>
        <v>2.3977585904019902E-3</v>
      </c>
      <c r="AL26" s="348">
        <f t="shared" si="21"/>
        <v>2.0275886399999999E-3</v>
      </c>
      <c r="AM26" s="348">
        <f t="shared" si="22"/>
        <v>2.6855204639999998E-2</v>
      </c>
      <c r="AN26" s="348">
        <f t="shared" si="23"/>
        <v>2.371923048758046E-3</v>
      </c>
      <c r="AO26" s="348">
        <f t="shared" si="24"/>
        <v>1.452E-5</v>
      </c>
      <c r="AP26" s="348">
        <f t="shared" si="25"/>
        <v>6.6937199999999988E-2</v>
      </c>
      <c r="AQ26" s="348">
        <f t="shared" si="26"/>
        <v>4.7164980923076916E-2</v>
      </c>
      <c r="AR26" s="348">
        <f t="shared" si="27"/>
        <v>2.1419903999999993E-2</v>
      </c>
      <c r="AS26" s="348">
        <f t="shared" si="28"/>
        <v>6.6951719999999992E-2</v>
      </c>
      <c r="AT26" s="348">
        <f t="shared" si="29"/>
        <v>0.36121099112055127</v>
      </c>
      <c r="AU26">
        <f t="shared" si="30"/>
        <v>0.84149999999999991</v>
      </c>
      <c r="AV26" s="526">
        <f t="shared" si="47"/>
        <v>0.6996693355366983</v>
      </c>
      <c r="AW26" s="534">
        <f t="shared" si="31"/>
        <v>3.2722375128986276</v>
      </c>
      <c r="AX26" s="534">
        <f t="shared" si="32"/>
        <v>0.45828102814920102</v>
      </c>
      <c r="AY26" s="9"/>
      <c r="AZ26" s="4">
        <f t="shared" si="48"/>
        <v>69.966933553669833</v>
      </c>
      <c r="BA26" s="348">
        <f t="shared" si="33"/>
        <v>0.20033739129743675</v>
      </c>
      <c r="BB26" s="348">
        <f t="shared" si="34"/>
        <v>8.9438945141778831E-2</v>
      </c>
      <c r="BC26" s="348">
        <f t="shared" si="35"/>
        <v>7.7910416973776847E-2</v>
      </c>
      <c r="BD26" s="348">
        <f t="shared" si="36"/>
        <v>1.125997612160199E-2</v>
      </c>
      <c r="BE26" s="348">
        <f t="shared" si="37"/>
        <v>2.371923048758046E-3</v>
      </c>
    </row>
    <row r="27" spans="1:65" x14ac:dyDescent="0.25">
      <c r="A27" s="22" t="s">
        <v>61</v>
      </c>
      <c r="B27" s="5">
        <v>0.7</v>
      </c>
      <c r="C27" s="431" t="s">
        <v>116</v>
      </c>
      <c r="D27" s="427" t="s">
        <v>491</v>
      </c>
      <c r="G27">
        <v>18</v>
      </c>
      <c r="H27" s="531">
        <f t="shared" si="0"/>
        <v>6.6</v>
      </c>
      <c r="I27" s="4">
        <f t="shared" si="1"/>
        <v>1</v>
      </c>
      <c r="J27" s="348">
        <f t="shared" si="38"/>
        <v>0.27</v>
      </c>
      <c r="K27" s="348">
        <f t="shared" si="2"/>
        <v>0.27</v>
      </c>
      <c r="L27" s="4">
        <f t="shared" si="3"/>
        <v>0.15000000000000002</v>
      </c>
      <c r="M27" s="348">
        <f t="shared" si="4"/>
        <v>0.50098317586015972</v>
      </c>
      <c r="N27" s="4">
        <f t="shared" si="5"/>
        <v>0.59854038308502799</v>
      </c>
      <c r="O27" s="4">
        <f t="shared" si="39"/>
        <v>0.56927019154251401</v>
      </c>
      <c r="P27" s="4">
        <f t="shared" si="40"/>
        <v>-2.9270191542513979E-2</v>
      </c>
      <c r="Q27" s="4">
        <f t="shared" si="6"/>
        <v>1.2145307693989205</v>
      </c>
      <c r="R27" s="4">
        <f t="shared" si="41"/>
        <v>0.32055298446377162</v>
      </c>
      <c r="S27" s="348">
        <f t="shared" si="7"/>
        <v>3.5963975547020856E-4</v>
      </c>
      <c r="T27" s="348">
        <f t="shared" si="8"/>
        <v>0.2</v>
      </c>
      <c r="U27" s="348">
        <f t="shared" si="9"/>
        <v>0.20036540450467669</v>
      </c>
      <c r="V27" s="4">
        <f t="shared" si="42"/>
        <v>0.17278372564750133</v>
      </c>
      <c r="W27" s="348">
        <f t="shared" si="10"/>
        <v>5.9708431697262022E-5</v>
      </c>
      <c r="X27" s="348">
        <f t="shared" si="43"/>
        <v>5.9708431697262022E-5</v>
      </c>
      <c r="Y27" s="4">
        <f t="shared" si="44"/>
        <v>0.16027618237392524</v>
      </c>
      <c r="Z27" s="348">
        <f t="shared" si="11"/>
        <v>2.5688454636359747E-5</v>
      </c>
      <c r="AA27" s="525">
        <f t="shared" si="45"/>
        <v>2.5688454636359747E-5</v>
      </c>
      <c r="AB27" s="348">
        <f t="shared" si="46"/>
        <v>0.22688793134247473</v>
      </c>
      <c r="AC27" s="348">
        <f t="shared" si="12"/>
        <v>6.1773760066641031E-4</v>
      </c>
      <c r="AD27" s="348">
        <f t="shared" si="13"/>
        <v>2.7639867427935198E-3</v>
      </c>
      <c r="AE27" s="348">
        <f t="shared" si="14"/>
        <v>6.4072558454447856E-2</v>
      </c>
      <c r="AF27" s="348">
        <f t="shared" si="15"/>
        <v>1.163684467886773E-4</v>
      </c>
      <c r="AG27" s="348">
        <f t="shared" si="16"/>
        <v>6.7577664449098102E-2</v>
      </c>
      <c r="AH27" s="348">
        <f t="shared" si="17"/>
        <v>0.22644222764264507</v>
      </c>
      <c r="AI27" s="348">
        <f t="shared" si="18"/>
        <v>2.102319380850303E-4</v>
      </c>
      <c r="AJ27" s="348">
        <f t="shared" si="19"/>
        <v>2.2632270067886773E-3</v>
      </c>
      <c r="AK27" s="348">
        <f t="shared" si="20"/>
        <v>2.4735436037822533E-3</v>
      </c>
      <c r="AL27" s="348">
        <f t="shared" si="21"/>
        <v>2.1468585599999997E-3</v>
      </c>
      <c r="AM27" s="348">
        <f t="shared" si="22"/>
        <v>2.8434922559999996E-2</v>
      </c>
      <c r="AN27" s="348">
        <f t="shared" si="23"/>
        <v>2.5688553962157756E-3</v>
      </c>
      <c r="AO27" s="348">
        <f t="shared" si="24"/>
        <v>1.452E-5</v>
      </c>
      <c r="AP27" s="348">
        <f t="shared" si="25"/>
        <v>6.6937199999999988E-2</v>
      </c>
      <c r="AQ27" s="348">
        <f t="shared" si="26"/>
        <v>4.7164980923076916E-2</v>
      </c>
      <c r="AR27" s="348">
        <f t="shared" si="27"/>
        <v>2.1419903999999993E-2</v>
      </c>
      <c r="AS27" s="348">
        <f t="shared" si="28"/>
        <v>6.6951719999999992E-2</v>
      </c>
      <c r="AT27" s="348">
        <f t="shared" si="29"/>
        <v>0.37060436596010649</v>
      </c>
      <c r="AU27">
        <f t="shared" si="30"/>
        <v>0.89100000000000001</v>
      </c>
      <c r="AV27" s="526">
        <f t="shared" si="47"/>
        <v>0.70624359271452819</v>
      </c>
      <c r="AW27" s="534">
        <f t="shared" si="31"/>
        <v>3.6264779602253201</v>
      </c>
      <c r="AX27" s="534">
        <f t="shared" si="32"/>
        <v>0.48258266957729773</v>
      </c>
      <c r="AY27" s="9"/>
      <c r="AZ27" s="4">
        <f t="shared" si="48"/>
        <v>70.624359271452818</v>
      </c>
      <c r="BA27" s="348">
        <f t="shared" si="33"/>
        <v>0.20036540450467669</v>
      </c>
      <c r="BB27" s="348">
        <f t="shared" si="34"/>
        <v>9.8486130612880349E-2</v>
      </c>
      <c r="BC27" s="348">
        <f t="shared" si="35"/>
        <v>8.6344713338698101E-2</v>
      </c>
      <c r="BD27" s="348">
        <f t="shared" si="36"/>
        <v>1.1857068048582253E-2</v>
      </c>
      <c r="BE27" s="348">
        <f t="shared" si="37"/>
        <v>2.5688553962157756E-3</v>
      </c>
    </row>
    <row r="28" spans="1:65" x14ac:dyDescent="0.25">
      <c r="A28" s="22" t="s">
        <v>126</v>
      </c>
      <c r="B28" s="5">
        <f>RdsonDRT2</f>
        <v>0.5</v>
      </c>
      <c r="C28" s="431" t="s">
        <v>116</v>
      </c>
      <c r="D28" s="427" t="s">
        <v>490</v>
      </c>
      <c r="G28">
        <v>19</v>
      </c>
      <c r="H28" s="531">
        <f t="shared" si="0"/>
        <v>6.6</v>
      </c>
      <c r="I28" s="4">
        <f t="shared" si="1"/>
        <v>1</v>
      </c>
      <c r="J28" s="348">
        <f t="shared" si="38"/>
        <v>0.28499999999999998</v>
      </c>
      <c r="K28" s="348">
        <f t="shared" si="2"/>
        <v>0.28499999999999998</v>
      </c>
      <c r="L28" s="4">
        <f t="shared" si="3"/>
        <v>0.15833333333333333</v>
      </c>
      <c r="M28" s="348">
        <f t="shared" si="4"/>
        <v>0.50103775643848436</v>
      </c>
      <c r="N28" s="4">
        <f t="shared" si="5"/>
        <v>0.59856336418371303</v>
      </c>
      <c r="O28" s="4">
        <f t="shared" si="39"/>
        <v>0.58428168209185649</v>
      </c>
      <c r="P28" s="4">
        <f t="shared" si="40"/>
        <v>-1.428168209185654E-2</v>
      </c>
      <c r="Q28" s="4">
        <f t="shared" si="6"/>
        <v>0.59260091667454529</v>
      </c>
      <c r="R28" s="4">
        <f t="shared" si="41"/>
        <v>0.33328892632655882</v>
      </c>
      <c r="S28" s="348">
        <f t="shared" si="7"/>
        <v>3.8878527944168621E-4</v>
      </c>
      <c r="T28" s="348">
        <f t="shared" si="8"/>
        <v>0.2</v>
      </c>
      <c r="U28" s="348">
        <f t="shared" si="9"/>
        <v>0.2003950181300915</v>
      </c>
      <c r="V28" s="4">
        <f t="shared" si="42"/>
        <v>0.17279035971925738</v>
      </c>
      <c r="W28" s="348">
        <f t="shared" si="10"/>
        <v>5.9713016823820727E-5</v>
      </c>
      <c r="X28" s="348">
        <f t="shared" si="43"/>
        <v>5.9713016823820727E-5</v>
      </c>
      <c r="Y28" s="4">
        <f t="shared" si="44"/>
        <v>0.16664410423124126</v>
      </c>
      <c r="Z28" s="348">
        <f t="shared" si="11"/>
        <v>2.77702574750328E-5</v>
      </c>
      <c r="AA28" s="525">
        <f t="shared" si="45"/>
        <v>2.77702574750328E-5</v>
      </c>
      <c r="AB28" s="348">
        <f t="shared" si="46"/>
        <v>0.23591530208213751</v>
      </c>
      <c r="AC28" s="348">
        <f t="shared" si="12"/>
        <v>6.6787235707807438E-4</v>
      </c>
      <c r="AD28" s="348">
        <f t="shared" si="13"/>
        <v>2.9175415618376043E-3</v>
      </c>
      <c r="AE28" s="348">
        <f t="shared" si="14"/>
        <v>7.1282384537327229E-2</v>
      </c>
      <c r="AF28" s="348">
        <f t="shared" si="15"/>
        <v>5.6779169352038733E-5</v>
      </c>
      <c r="AG28" s="348">
        <f t="shared" si="16"/>
        <v>7.4932985298073282E-2</v>
      </c>
      <c r="AH28" s="348">
        <f t="shared" si="17"/>
        <v>0.23542616391430279</v>
      </c>
      <c r="AI28" s="348">
        <f t="shared" si="18"/>
        <v>2.2724446248715706E-4</v>
      </c>
      <c r="AJ28" s="348">
        <f t="shared" si="19"/>
        <v>2.3229076493520382E-3</v>
      </c>
      <c r="AK28" s="348">
        <f t="shared" si="20"/>
        <v>2.5502464592232093E-3</v>
      </c>
      <c r="AL28" s="348">
        <f t="shared" si="21"/>
        <v>2.2661284799999994E-3</v>
      </c>
      <c r="AM28" s="348">
        <f t="shared" si="22"/>
        <v>3.0014640479999993E-2</v>
      </c>
      <c r="AN28" s="348">
        <f t="shared" si="23"/>
        <v>2.777037710297759E-3</v>
      </c>
      <c r="AO28" s="348">
        <f t="shared" si="24"/>
        <v>1.452E-5</v>
      </c>
      <c r="AP28" s="348">
        <f t="shared" si="25"/>
        <v>6.6937199999999988E-2</v>
      </c>
      <c r="AQ28" s="348">
        <f t="shared" si="26"/>
        <v>4.7164980923076916E-2</v>
      </c>
      <c r="AR28" s="348">
        <f t="shared" si="27"/>
        <v>2.1419903999999993E-2</v>
      </c>
      <c r="AS28" s="348">
        <f t="shared" si="28"/>
        <v>6.6951719999999992E-2</v>
      </c>
      <c r="AT28" s="348">
        <f t="shared" si="29"/>
        <v>0.37997525983198455</v>
      </c>
      <c r="AU28">
        <f t="shared" si="30"/>
        <v>0.94049999999999989</v>
      </c>
      <c r="AV28" s="526">
        <f t="shared" si="47"/>
        <v>0.71224356003433786</v>
      </c>
      <c r="AW28" s="534">
        <f t="shared" si="31"/>
        <v>3.9791912166246779</v>
      </c>
      <c r="AX28" s="534">
        <f t="shared" si="32"/>
        <v>0.50692166717726461</v>
      </c>
      <c r="AY28" s="9"/>
      <c r="AZ28" s="4">
        <f t="shared" si="48"/>
        <v>71.224356003433783</v>
      </c>
      <c r="BA28" s="348">
        <f t="shared" si="33"/>
        <v>0.2003950181300915</v>
      </c>
      <c r="BB28" s="348">
        <f t="shared" si="34"/>
        <v>0.10749787223729648</v>
      </c>
      <c r="BC28" s="348">
        <f t="shared" si="35"/>
        <v>9.4742648014873282E-2</v>
      </c>
      <c r="BD28" s="348">
        <f t="shared" si="36"/>
        <v>1.2455077817623207E-2</v>
      </c>
      <c r="BE28" s="348">
        <f t="shared" si="37"/>
        <v>2.777037710297759E-3</v>
      </c>
    </row>
    <row r="29" spans="1:65" ht="13" x14ac:dyDescent="0.3">
      <c r="A29" s="24" t="s">
        <v>113</v>
      </c>
      <c r="B29" s="15" t="s">
        <v>111</v>
      </c>
      <c r="C29" s="24" t="s">
        <v>76</v>
      </c>
      <c r="D29" s="17" t="s">
        <v>107</v>
      </c>
      <c r="G29">
        <v>20</v>
      </c>
      <c r="H29" s="531">
        <f t="shared" si="0"/>
        <v>6.6</v>
      </c>
      <c r="I29" s="4">
        <f t="shared" si="1"/>
        <v>1</v>
      </c>
      <c r="J29" s="348">
        <f t="shared" si="38"/>
        <v>0.3</v>
      </c>
      <c r="K29" s="348">
        <f t="shared" si="2"/>
        <v>0.3</v>
      </c>
      <c r="L29" s="4">
        <f t="shared" si="3"/>
        <v>0.16666666666666666</v>
      </c>
      <c r="M29" s="348">
        <f t="shared" si="4"/>
        <v>0.5010923327777046</v>
      </c>
      <c r="N29" s="4">
        <f t="shared" si="5"/>
        <v>0.59858633101829339</v>
      </c>
      <c r="O29" s="4">
        <f t="shared" si="39"/>
        <v>0.59929316550914669</v>
      </c>
      <c r="P29" s="4">
        <f t="shared" si="40"/>
        <v>7.0683449085329197E-4</v>
      </c>
      <c r="Q29" s="4">
        <f t="shared" si="6"/>
        <v>0</v>
      </c>
      <c r="R29" s="4">
        <f t="shared" si="41"/>
        <v>0.3462062963612329</v>
      </c>
      <c r="S29" s="348">
        <f t="shared" si="7"/>
        <v>4.1950579874056639E-4</v>
      </c>
      <c r="T29" s="348">
        <f t="shared" si="8"/>
        <v>0.2</v>
      </c>
      <c r="U29" s="348">
        <f t="shared" si="9"/>
        <v>0.20042623219607064</v>
      </c>
      <c r="V29" s="4">
        <f t="shared" si="42"/>
        <v>0.17279698967332108</v>
      </c>
      <c r="W29" s="348">
        <f t="shared" si="10"/>
        <v>5.9717599280323666E-5</v>
      </c>
      <c r="X29" s="348">
        <f t="shared" si="43"/>
        <v>5.9717599280323666E-5</v>
      </c>
      <c r="Y29" s="4">
        <f t="shared" si="44"/>
        <v>0.17310273508992216</v>
      </c>
      <c r="Z29" s="348">
        <f t="shared" si="11"/>
        <v>2.9964556895611768E-5</v>
      </c>
      <c r="AA29" s="525">
        <f t="shared" si="45"/>
        <v>2.9964556895611768E-5</v>
      </c>
      <c r="AB29" s="348">
        <f t="shared" si="46"/>
        <v>0.24507208228524152</v>
      </c>
      <c r="AC29" s="348">
        <f t="shared" si="12"/>
        <v>7.2072390618749033E-4</v>
      </c>
      <c r="AD29" s="348">
        <f t="shared" si="13"/>
        <v>3.0710963808816883E-3</v>
      </c>
      <c r="AE29" s="348">
        <f t="shared" si="14"/>
        <v>7.8115712399999981E-2</v>
      </c>
      <c r="AF29" s="348">
        <f t="shared" si="15"/>
        <v>0</v>
      </c>
      <c r="AG29" s="348">
        <f t="shared" si="16"/>
        <v>8.1917451384481005E-2</v>
      </c>
      <c r="AH29" s="348">
        <f t="shared" si="17"/>
        <v>0.24453726530845485</v>
      </c>
      <c r="AI29" s="348">
        <f t="shared" si="18"/>
        <v>2.4517374391060429E-4</v>
      </c>
      <c r="AJ29" s="348">
        <f t="shared" si="19"/>
        <v>2.3853983999999996E-3</v>
      </c>
      <c r="AK29" s="348">
        <f t="shared" si="20"/>
        <v>2.6306771455092705E-3</v>
      </c>
      <c r="AL29" s="348">
        <f t="shared" si="21"/>
        <v>2.3853983999999996E-3</v>
      </c>
      <c r="AM29" s="348">
        <f t="shared" si="22"/>
        <v>3.1594358400000001E-2</v>
      </c>
      <c r="AN29" s="348">
        <f t="shared" si="23"/>
        <v>2.9964699910040461E-3</v>
      </c>
      <c r="AO29" s="348">
        <f t="shared" si="24"/>
        <v>1.452E-5</v>
      </c>
      <c r="AP29" s="348">
        <f t="shared" si="25"/>
        <v>6.6937199999999988E-2</v>
      </c>
      <c r="AQ29" s="348">
        <f t="shared" si="26"/>
        <v>4.7164980923076916E-2</v>
      </c>
      <c r="AR29" s="348">
        <f t="shared" si="27"/>
        <v>2.1419903999999993E-2</v>
      </c>
      <c r="AS29" s="348">
        <f t="shared" si="28"/>
        <v>6.6951719999999992E-2</v>
      </c>
      <c r="AT29" s="348">
        <f t="shared" si="29"/>
        <v>0.388991989673241</v>
      </c>
      <c r="AU29">
        <f t="shared" si="30"/>
        <v>0.98999999999999988</v>
      </c>
      <c r="AV29" s="526">
        <f t="shared" si="47"/>
        <v>0.71791570031859686</v>
      </c>
      <c r="AW29" s="534">
        <f t="shared" si="31"/>
        <v>4.316328572996202</v>
      </c>
      <c r="AX29" s="534">
        <f t="shared" si="32"/>
        <v>0.53141238749262742</v>
      </c>
      <c r="AY29" s="9"/>
      <c r="AZ29" s="4">
        <f t="shared" si="48"/>
        <v>71.791570031859692</v>
      </c>
      <c r="BA29" s="348">
        <f t="shared" si="33"/>
        <v>0.20042623219607064</v>
      </c>
      <c r="BB29" s="348">
        <f t="shared" si="34"/>
        <v>0.11614248692999027</v>
      </c>
      <c r="BC29" s="348">
        <f t="shared" si="35"/>
        <v>0.10276972792848101</v>
      </c>
      <c r="BD29" s="348">
        <f t="shared" si="36"/>
        <v>1.3056815417509271E-2</v>
      </c>
      <c r="BE29" s="348">
        <f t="shared" si="37"/>
        <v>2.9964699910040461E-3</v>
      </c>
    </row>
    <row r="30" spans="1:65" x14ac:dyDescent="0.25">
      <c r="A30" s="22" t="s">
        <v>60</v>
      </c>
      <c r="B30" s="27">
        <v>0.7</v>
      </c>
      <c r="C30" s="431" t="s">
        <v>116</v>
      </c>
      <c r="D30" s="427" t="s">
        <v>489</v>
      </c>
      <c r="G30">
        <v>21</v>
      </c>
      <c r="H30" s="531">
        <f t="shared" si="0"/>
        <v>6.6</v>
      </c>
      <c r="I30" s="4">
        <f t="shared" si="1"/>
        <v>1</v>
      </c>
      <c r="J30" s="348">
        <f t="shared" si="38"/>
        <v>0.315</v>
      </c>
      <c r="K30" s="348">
        <f t="shared" si="2"/>
        <v>0.315</v>
      </c>
      <c r="L30" s="4">
        <f t="shared" si="3"/>
        <v>0.17499999999999999</v>
      </c>
      <c r="M30" s="348">
        <f t="shared" si="4"/>
        <v>0.50114690487831404</v>
      </c>
      <c r="N30" s="4">
        <f t="shared" si="5"/>
        <v>0.59860928359043053</v>
      </c>
      <c r="O30" s="4">
        <f t="shared" si="39"/>
        <v>0.61430464179521527</v>
      </c>
      <c r="P30" s="4">
        <f t="shared" si="40"/>
        <v>1.5695358204784737E-2</v>
      </c>
      <c r="Q30" s="4">
        <f t="shared" si="6"/>
        <v>0</v>
      </c>
      <c r="R30" s="4">
        <f t="shared" si="41"/>
        <v>0.35928552647356582</v>
      </c>
      <c r="S30" s="348">
        <f t="shared" si="7"/>
        <v>4.5180131336685584E-4</v>
      </c>
      <c r="T30" s="348">
        <f t="shared" si="8"/>
        <v>0.2</v>
      </c>
      <c r="U30" s="348">
        <f t="shared" si="9"/>
        <v>0.20045904672621384</v>
      </c>
      <c r="V30" s="4">
        <f t="shared" si="42"/>
        <v>0.17280361551017207</v>
      </c>
      <c r="W30" s="348">
        <f t="shared" si="10"/>
        <v>5.9722179066774763E-5</v>
      </c>
      <c r="X30" s="348">
        <f t="shared" si="43"/>
        <v>5.9722179066774763E-5</v>
      </c>
      <c r="Y30" s="4">
        <f t="shared" si="44"/>
        <v>0.1796422906352852</v>
      </c>
      <c r="Z30" s="348">
        <f t="shared" si="11"/>
        <v>3.2271352584692281E-5</v>
      </c>
      <c r="AA30" s="525">
        <f t="shared" si="45"/>
        <v>3.2271352584692281E-5</v>
      </c>
      <c r="AB30" s="348">
        <f t="shared" si="46"/>
        <v>0.2543444401446629</v>
      </c>
      <c r="AC30" s="348">
        <f t="shared" si="12"/>
        <v>7.7629313079002416E-4</v>
      </c>
      <c r="AD30" s="348">
        <f t="shared" si="13"/>
        <v>3.2246511999257724E-3</v>
      </c>
      <c r="AE30" s="348">
        <f t="shared" si="14"/>
        <v>7.8115712399999981E-2</v>
      </c>
      <c r="AF30" s="348">
        <f t="shared" si="15"/>
        <v>0</v>
      </c>
      <c r="AG30" s="348">
        <f t="shared" si="16"/>
        <v>8.212736755581139E-2</v>
      </c>
      <c r="AH30" s="348">
        <f t="shared" si="17"/>
        <v>0.25376168997877785</v>
      </c>
      <c r="AI30" s="348">
        <f t="shared" si="18"/>
        <v>2.6401948073362998E-4</v>
      </c>
      <c r="AJ30" s="348">
        <f t="shared" si="19"/>
        <v>2.5046683199999998E-3</v>
      </c>
      <c r="AK30" s="348">
        <f t="shared" si="20"/>
        <v>2.7688068106164741E-3</v>
      </c>
      <c r="AL30" s="348">
        <f t="shared" si="21"/>
        <v>2.5046683199999998E-3</v>
      </c>
      <c r="AM30" s="348">
        <f t="shared" si="22"/>
        <v>3.3174076320000002E-2</v>
      </c>
      <c r="AN30" s="348">
        <f t="shared" si="23"/>
        <v>3.2271522383346845E-3</v>
      </c>
      <c r="AO30" s="348">
        <f t="shared" si="24"/>
        <v>1.452E-5</v>
      </c>
      <c r="AP30" s="348">
        <f t="shared" si="25"/>
        <v>6.6937199999999988E-2</v>
      </c>
      <c r="AQ30" s="348">
        <f t="shared" si="26"/>
        <v>4.7164980923076916E-2</v>
      </c>
      <c r="AR30" s="348">
        <f t="shared" si="27"/>
        <v>2.1419903999999993E-2</v>
      </c>
      <c r="AS30" s="348">
        <f t="shared" si="28"/>
        <v>6.6951719999999992E-2</v>
      </c>
      <c r="AT30" s="348">
        <f t="shared" si="29"/>
        <v>0.3913048315026279</v>
      </c>
      <c r="AU30">
        <f t="shared" si="30"/>
        <v>1.0394999999999999</v>
      </c>
      <c r="AV30" s="526">
        <f t="shared" si="47"/>
        <v>0.72651418076937824</v>
      </c>
      <c r="AW30" s="534">
        <f t="shared" si="31"/>
        <v>4.3689348329344782</v>
      </c>
      <c r="AX30" s="534">
        <f t="shared" si="32"/>
        <v>0.55825145624601058</v>
      </c>
      <c r="AY30" s="9"/>
      <c r="AZ30" s="4">
        <f t="shared" si="48"/>
        <v>72.65141807693783</v>
      </c>
      <c r="BA30" s="348">
        <f t="shared" si="33"/>
        <v>0.20045904672621384</v>
      </c>
      <c r="BB30" s="348">
        <f t="shared" si="34"/>
        <v>0.11807025068642787</v>
      </c>
      <c r="BC30" s="348">
        <f t="shared" si="35"/>
        <v>0.10402225792701139</v>
      </c>
      <c r="BD30" s="348">
        <f t="shared" si="36"/>
        <v>1.3716251996216474E-2</v>
      </c>
      <c r="BE30" s="348">
        <f t="shared" si="37"/>
        <v>3.2271522383346845E-3</v>
      </c>
    </row>
    <row r="31" spans="1:65" x14ac:dyDescent="0.25">
      <c r="A31" s="22" t="s">
        <v>125</v>
      </c>
      <c r="B31" s="27">
        <v>0.5</v>
      </c>
      <c r="C31" s="431" t="s">
        <v>116</v>
      </c>
      <c r="D31" s="427" t="s">
        <v>488</v>
      </c>
      <c r="G31">
        <v>22</v>
      </c>
      <c r="H31" s="531">
        <f t="shared" si="0"/>
        <v>6.6</v>
      </c>
      <c r="I31" s="4">
        <f t="shared" si="1"/>
        <v>1</v>
      </c>
      <c r="J31" s="348">
        <f t="shared" si="38"/>
        <v>0.33</v>
      </c>
      <c r="K31" s="348">
        <f t="shared" si="2"/>
        <v>0.33</v>
      </c>
      <c r="L31" s="4">
        <f t="shared" si="3"/>
        <v>0.18333333333333335</v>
      </c>
      <c r="M31" s="348">
        <f t="shared" si="4"/>
        <v>0.50120147274080662</v>
      </c>
      <c r="N31" s="4">
        <f t="shared" si="5"/>
        <v>0.598632221901786</v>
      </c>
      <c r="O31" s="4">
        <f t="shared" si="39"/>
        <v>0.62931611095089302</v>
      </c>
      <c r="P31" s="4">
        <f t="shared" si="40"/>
        <v>3.0683889049107016E-2</v>
      </c>
      <c r="Q31" s="4">
        <f t="shared" si="6"/>
        <v>0</v>
      </c>
      <c r="R31" s="4">
        <f t="shared" si="41"/>
        <v>0.37250956778529748</v>
      </c>
      <c r="S31" s="348">
        <f t="shared" si="7"/>
        <v>4.8567182332056203E-4</v>
      </c>
      <c r="T31" s="348">
        <f t="shared" si="8"/>
        <v>0.2</v>
      </c>
      <c r="U31" s="348">
        <f t="shared" si="9"/>
        <v>0.20049346174533095</v>
      </c>
      <c r="V31" s="4">
        <f t="shared" si="42"/>
        <v>0.17281023723028999</v>
      </c>
      <c r="W31" s="348">
        <f t="shared" si="10"/>
        <v>5.9726756183178212E-5</v>
      </c>
      <c r="X31" s="348">
        <f t="shared" si="43"/>
        <v>5.9726756183178212E-5</v>
      </c>
      <c r="Y31" s="4">
        <f t="shared" si="44"/>
        <v>0.18625424616062283</v>
      </c>
      <c r="Z31" s="348">
        <f t="shared" si="11"/>
        <v>3.469064421286189E-5</v>
      </c>
      <c r="AA31" s="525">
        <f t="shared" si="45"/>
        <v>3.469064421286189E-5</v>
      </c>
      <c r="AB31" s="348">
        <f t="shared" si="46"/>
        <v>0.26372032432483061</v>
      </c>
      <c r="AC31" s="348">
        <f t="shared" si="12"/>
        <v>8.3458091354392618E-4</v>
      </c>
      <c r="AD31" s="348">
        <f t="shared" si="13"/>
        <v>3.3782060189698573E-3</v>
      </c>
      <c r="AE31" s="348">
        <f t="shared" si="14"/>
        <v>7.8115712399999981E-2</v>
      </c>
      <c r="AF31" s="348">
        <f t="shared" si="15"/>
        <v>0</v>
      </c>
      <c r="AG31" s="348">
        <f t="shared" si="16"/>
        <v>8.2340044196637319E-2</v>
      </c>
      <c r="AH31" s="348">
        <f t="shared" si="17"/>
        <v>0.26308737831677764</v>
      </c>
      <c r="AI31" s="348">
        <f t="shared" si="18"/>
        <v>2.837813713813406E-4</v>
      </c>
      <c r="AJ31" s="348">
        <f t="shared" si="19"/>
        <v>2.6239382399999996E-3</v>
      </c>
      <c r="AK31" s="348">
        <f t="shared" si="20"/>
        <v>2.9078539530919449E-3</v>
      </c>
      <c r="AL31" s="348">
        <f t="shared" si="21"/>
        <v>2.6239382399999996E-3</v>
      </c>
      <c r="AM31" s="348">
        <f t="shared" si="22"/>
        <v>3.4753794239999997E-2</v>
      </c>
      <c r="AN31" s="348">
        <f t="shared" si="23"/>
        <v>3.469084452289729E-3</v>
      </c>
      <c r="AO31" s="348">
        <f t="shared" si="24"/>
        <v>1.452E-5</v>
      </c>
      <c r="AP31" s="348">
        <f t="shared" si="25"/>
        <v>6.6937199999999988E-2</v>
      </c>
      <c r="AQ31" s="348">
        <f t="shared" si="26"/>
        <v>4.7164980923076916E-2</v>
      </c>
      <c r="AR31" s="348">
        <f t="shared" si="27"/>
        <v>2.1419903999999993E-2</v>
      </c>
      <c r="AS31" s="348">
        <f t="shared" si="28"/>
        <v>6.6951719999999992E-2</v>
      </c>
      <c r="AT31" s="348">
        <f t="shared" si="29"/>
        <v>0.39363431422774597</v>
      </c>
      <c r="AU31">
        <f t="shared" si="30"/>
        <v>1.089</v>
      </c>
      <c r="AV31" s="526">
        <f t="shared" si="47"/>
        <v>0.73450343726006584</v>
      </c>
      <c r="AW31" s="534">
        <f t="shared" si="31"/>
        <v>4.4216570325915674</v>
      </c>
      <c r="AX31" s="534">
        <f t="shared" si="32"/>
        <v>0.58512786632828218</v>
      </c>
      <c r="AY31" s="9"/>
      <c r="AZ31" s="4">
        <f t="shared" si="48"/>
        <v>73.450343726006579</v>
      </c>
      <c r="BA31" s="348">
        <f t="shared" si="33"/>
        <v>0.20049346174533095</v>
      </c>
      <c r="BB31" s="348">
        <f t="shared" si="34"/>
        <v>0.12000169238972926</v>
      </c>
      <c r="BC31" s="348">
        <f t="shared" si="35"/>
        <v>0.10527754839503732</v>
      </c>
      <c r="BD31" s="348">
        <f t="shared" si="36"/>
        <v>1.4376606052291945E-2</v>
      </c>
      <c r="BE31" s="348">
        <f t="shared" si="37"/>
        <v>3.469084452289729E-3</v>
      </c>
    </row>
    <row r="32" spans="1:65" ht="13" x14ac:dyDescent="0.3">
      <c r="A32" s="24" t="s">
        <v>62</v>
      </c>
      <c r="B32" s="15" t="s">
        <v>111</v>
      </c>
      <c r="C32" s="24" t="s">
        <v>76</v>
      </c>
      <c r="D32" s="17" t="s">
        <v>107</v>
      </c>
      <c r="G32">
        <v>23</v>
      </c>
      <c r="H32" s="531">
        <f t="shared" si="0"/>
        <v>6.6</v>
      </c>
      <c r="I32" s="4">
        <f t="shared" si="1"/>
        <v>1</v>
      </c>
      <c r="J32" s="348">
        <f t="shared" si="38"/>
        <v>0.34499999999999997</v>
      </c>
      <c r="K32" s="348">
        <f t="shared" si="2"/>
        <v>0.34499999999999997</v>
      </c>
      <c r="L32" s="4">
        <f t="shared" si="3"/>
        <v>0.19166666666666665</v>
      </c>
      <c r="M32" s="348">
        <f t="shared" si="4"/>
        <v>0.50125603636567584</v>
      </c>
      <c r="N32" s="4">
        <f t="shared" si="5"/>
        <v>0.59865514595402081</v>
      </c>
      <c r="O32" s="4">
        <f t="shared" si="39"/>
        <v>0.64432757297701038</v>
      </c>
      <c r="P32" s="4">
        <f t="shared" si="40"/>
        <v>4.567242702298957E-2</v>
      </c>
      <c r="Q32" s="4">
        <f t="shared" si="6"/>
        <v>0</v>
      </c>
      <c r="R32" s="4">
        <f t="shared" si="41"/>
        <v>0.38586353198348394</v>
      </c>
      <c r="S32" s="348">
        <f t="shared" si="7"/>
        <v>5.2111732860169195E-4</v>
      </c>
      <c r="T32" s="348">
        <f t="shared" si="8"/>
        <v>0.2</v>
      </c>
      <c r="U32" s="348">
        <f t="shared" si="9"/>
        <v>0.20052947727944215</v>
      </c>
      <c r="V32" s="4">
        <f t="shared" si="42"/>
        <v>0.17281685483415432</v>
      </c>
      <c r="W32" s="348">
        <f t="shared" si="10"/>
        <v>5.9731330629538336E-5</v>
      </c>
      <c r="X32" s="348">
        <f t="shared" si="43"/>
        <v>5.9731330629538336E-5</v>
      </c>
      <c r="Y32" s="4">
        <f t="shared" si="44"/>
        <v>0.19293115724191942</v>
      </c>
      <c r="Z32" s="348">
        <f t="shared" si="11"/>
        <v>3.7222431434706236E-5</v>
      </c>
      <c r="AA32" s="525">
        <f t="shared" si="45"/>
        <v>3.7222431434706236E-5</v>
      </c>
      <c r="AB32" s="348">
        <f t="shared" si="46"/>
        <v>0.27318921052547007</v>
      </c>
      <c r="AC32" s="348">
        <f t="shared" si="12"/>
        <v>8.9558813697035531E-4</v>
      </c>
      <c r="AD32" s="348">
        <f t="shared" si="13"/>
        <v>3.5317608380139413E-3</v>
      </c>
      <c r="AE32" s="348">
        <f t="shared" si="14"/>
        <v>7.8115712399999981E-2</v>
      </c>
      <c r="AF32" s="348">
        <f t="shared" si="15"/>
        <v>0</v>
      </c>
      <c r="AG32" s="348">
        <f t="shared" si="16"/>
        <v>8.2555482574404648E-2</v>
      </c>
      <c r="AH32" s="348">
        <f t="shared" si="17"/>
        <v>0.27250379917946016</v>
      </c>
      <c r="AI32" s="348">
        <f t="shared" si="18"/>
        <v>3.0445911432568209E-4</v>
      </c>
      <c r="AJ32" s="348">
        <f t="shared" si="19"/>
        <v>2.7432081599999994E-3</v>
      </c>
      <c r="AK32" s="348">
        <f t="shared" si="20"/>
        <v>3.0478183423183866E-3</v>
      </c>
      <c r="AL32" s="348">
        <f t="shared" si="21"/>
        <v>2.7432081599999994E-3</v>
      </c>
      <c r="AM32" s="348">
        <f t="shared" si="22"/>
        <v>3.6333512159999998E-2</v>
      </c>
      <c r="AN32" s="348">
        <f t="shared" si="23"/>
        <v>3.7222666328692285E-3</v>
      </c>
      <c r="AO32" s="348">
        <f t="shared" si="24"/>
        <v>1.452E-5</v>
      </c>
      <c r="AP32" s="348">
        <f t="shared" si="25"/>
        <v>6.6937199999999988E-2</v>
      </c>
      <c r="AQ32" s="348">
        <f t="shared" si="26"/>
        <v>4.7164980923076916E-2</v>
      </c>
      <c r="AR32" s="348">
        <f t="shared" si="27"/>
        <v>2.1419903999999993E-2</v>
      </c>
      <c r="AS32" s="348">
        <f t="shared" si="28"/>
        <v>6.6951719999999992E-2</v>
      </c>
      <c r="AT32" s="348">
        <f t="shared" si="29"/>
        <v>0.39598043891109863</v>
      </c>
      <c r="AU32">
        <f t="shared" si="30"/>
        <v>1.1384999999999998</v>
      </c>
      <c r="AV32" s="526">
        <f t="shared" si="47"/>
        <v>0.74194494183836246</v>
      </c>
      <c r="AW32" s="534">
        <f t="shared" si="31"/>
        <v>4.4744952252001955</v>
      </c>
      <c r="AX32" s="534">
        <f t="shared" si="32"/>
        <v>0.61204160835331833</v>
      </c>
      <c r="AY32" s="9"/>
      <c r="AZ32" s="4">
        <f t="shared" si="48"/>
        <v>74.194494183836241</v>
      </c>
      <c r="BA32" s="348">
        <f t="shared" si="33"/>
        <v>0.20052947727944215</v>
      </c>
      <c r="BB32" s="348">
        <f t="shared" si="34"/>
        <v>0.12193681307672304</v>
      </c>
      <c r="BC32" s="348">
        <f t="shared" si="35"/>
        <v>0.10653560060000465</v>
      </c>
      <c r="BD32" s="348">
        <f t="shared" si="36"/>
        <v>1.5037877355118386E-2</v>
      </c>
      <c r="BE32" s="348">
        <f t="shared" si="37"/>
        <v>3.7222666328692285E-3</v>
      </c>
    </row>
    <row r="33" spans="1:57" x14ac:dyDescent="0.25">
      <c r="A33" s="22" t="s">
        <v>62</v>
      </c>
      <c r="B33" s="5">
        <f>Deadtime*1000000000</f>
        <v>14</v>
      </c>
      <c r="C33" s="427" t="s">
        <v>75</v>
      </c>
      <c r="D33" s="21" t="s">
        <v>98</v>
      </c>
      <c r="G33">
        <v>24</v>
      </c>
      <c r="H33" s="531">
        <f t="shared" si="0"/>
        <v>6.6</v>
      </c>
      <c r="I33" s="4">
        <f t="shared" si="1"/>
        <v>1</v>
      </c>
      <c r="J33" s="348">
        <f t="shared" si="38"/>
        <v>0.36</v>
      </c>
      <c r="K33" s="348">
        <f t="shared" si="2"/>
        <v>0.36</v>
      </c>
      <c r="L33" s="4">
        <f t="shared" si="3"/>
        <v>0.2</v>
      </c>
      <c r="M33" s="348">
        <f t="shared" si="4"/>
        <v>0.50131059575341541</v>
      </c>
      <c r="N33" s="4">
        <f t="shared" si="5"/>
        <v>0.59867805574879596</v>
      </c>
      <c r="O33" s="4">
        <f t="shared" si="39"/>
        <v>0.65933902787439802</v>
      </c>
      <c r="P33" s="4">
        <f t="shared" si="40"/>
        <v>6.0660972125602008E-2</v>
      </c>
      <c r="Q33" s="4">
        <f t="shared" si="6"/>
        <v>0</v>
      </c>
      <c r="R33" s="4">
        <f t="shared" si="41"/>
        <v>0.39933438519983461</v>
      </c>
      <c r="S33" s="348">
        <f t="shared" si="7"/>
        <v>5.581378292102546E-4</v>
      </c>
      <c r="T33" s="348">
        <f t="shared" si="8"/>
        <v>0.2</v>
      </c>
      <c r="U33" s="348">
        <f t="shared" si="9"/>
        <v>0.20056709335577796</v>
      </c>
      <c r="V33" s="4">
        <f t="shared" si="42"/>
        <v>0.17282346832224457</v>
      </c>
      <c r="W33" s="348">
        <f t="shared" si="10"/>
        <v>5.9735902405859751E-5</v>
      </c>
      <c r="X33" s="348">
        <f t="shared" si="43"/>
        <v>5.9735902405859751E-5</v>
      </c>
      <c r="Y33" s="4">
        <f t="shared" si="44"/>
        <v>0.19966650667754832</v>
      </c>
      <c r="Z33" s="348">
        <f t="shared" si="11"/>
        <v>3.9866713888815447E-5</v>
      </c>
      <c r="AA33" s="525">
        <f t="shared" si="45"/>
        <v>3.9866713888815447E-5</v>
      </c>
      <c r="AB33" s="348">
        <f t="shared" si="46"/>
        <v>0.28274188515520188</v>
      </c>
      <c r="AC33" s="348">
        <f t="shared" si="12"/>
        <v>9.5931568345340842E-4</v>
      </c>
      <c r="AD33" s="348">
        <f t="shared" si="13"/>
        <v>3.6853156570580262E-3</v>
      </c>
      <c r="AE33" s="348">
        <f t="shared" si="14"/>
        <v>7.8115712399999981E-2</v>
      </c>
      <c r="AF33" s="348">
        <f t="shared" si="15"/>
        <v>0</v>
      </c>
      <c r="AG33" s="348">
        <f t="shared" si="16"/>
        <v>8.2773683964169703E-2</v>
      </c>
      <c r="AH33" s="348">
        <f t="shared" si="17"/>
        <v>0.28200173329575923</v>
      </c>
      <c r="AI33" s="348">
        <f t="shared" si="18"/>
        <v>3.2605240808543124E-4</v>
      </c>
      <c r="AJ33" s="348">
        <f t="shared" si="19"/>
        <v>2.8624780799999996E-3</v>
      </c>
      <c r="AK33" s="348">
        <f t="shared" si="20"/>
        <v>3.1886997485155457E-3</v>
      </c>
      <c r="AL33" s="348">
        <f t="shared" si="21"/>
        <v>2.8624780799999996E-3</v>
      </c>
      <c r="AM33" s="348">
        <f t="shared" si="22"/>
        <v>3.7913230079999999E-2</v>
      </c>
      <c r="AN33" s="348">
        <f t="shared" si="23"/>
        <v>3.9866987800732476E-3</v>
      </c>
      <c r="AO33" s="348">
        <f t="shared" si="24"/>
        <v>1.452E-5</v>
      </c>
      <c r="AP33" s="348">
        <f t="shared" si="25"/>
        <v>6.6937199999999988E-2</v>
      </c>
      <c r="AQ33" s="348">
        <f t="shared" si="26"/>
        <v>4.7164980923076916E-2</v>
      </c>
      <c r="AR33" s="348">
        <f t="shared" si="27"/>
        <v>2.1419903999999993E-2</v>
      </c>
      <c r="AS33" s="348">
        <f t="shared" si="28"/>
        <v>6.6951719999999992E-2</v>
      </c>
      <c r="AT33" s="348">
        <f t="shared" si="29"/>
        <v>0.39834320662483114</v>
      </c>
      <c r="AU33">
        <f t="shared" si="30"/>
        <v>1.1879999999999999</v>
      </c>
      <c r="AV33" s="526">
        <f t="shared" si="47"/>
        <v>0.7488921659819362</v>
      </c>
      <c r="AW33" s="534">
        <f t="shared" si="31"/>
        <v>4.5274494643127277</v>
      </c>
      <c r="AX33" s="534">
        <f t="shared" si="32"/>
        <v>0.63899267296906281</v>
      </c>
      <c r="AY33" s="9"/>
      <c r="AZ33" s="4">
        <f t="shared" si="48"/>
        <v>74.889216598193613</v>
      </c>
      <c r="BA33" s="348">
        <f t="shared" si="33"/>
        <v>0.20056709335577796</v>
      </c>
      <c r="BB33" s="348">
        <f t="shared" si="34"/>
        <v>0.12387561379268525</v>
      </c>
      <c r="BC33" s="348">
        <f t="shared" si="35"/>
        <v>0.10779641581696971</v>
      </c>
      <c r="BD33" s="348">
        <f t="shared" si="36"/>
        <v>1.5700065674915546E-2</v>
      </c>
      <c r="BE33" s="348">
        <f t="shared" si="37"/>
        <v>3.9866987800732476E-3</v>
      </c>
    </row>
    <row r="34" spans="1:57" ht="13" x14ac:dyDescent="0.3">
      <c r="A34" s="24" t="s">
        <v>52</v>
      </c>
      <c r="B34" s="15" t="s">
        <v>111</v>
      </c>
      <c r="C34" s="24" t="s">
        <v>76</v>
      </c>
      <c r="D34" s="17" t="s">
        <v>107</v>
      </c>
      <c r="G34">
        <v>25</v>
      </c>
      <c r="H34" s="531">
        <f t="shared" si="0"/>
        <v>6.6</v>
      </c>
      <c r="I34" s="4">
        <f t="shared" si="1"/>
        <v>1</v>
      </c>
      <c r="J34" s="348">
        <f t="shared" si="38"/>
        <v>0.375</v>
      </c>
      <c r="K34" s="348">
        <f t="shared" si="2"/>
        <v>0.375</v>
      </c>
      <c r="L34" s="4">
        <f t="shared" si="3"/>
        <v>0.20833333333333331</v>
      </c>
      <c r="M34" s="348">
        <f t="shared" si="4"/>
        <v>0.50136515090451894</v>
      </c>
      <c r="N34" s="4">
        <f t="shared" si="5"/>
        <v>0.59870095128777234</v>
      </c>
      <c r="O34" s="4">
        <f t="shared" si="39"/>
        <v>0.67435047564388617</v>
      </c>
      <c r="P34" s="4">
        <f t="shared" si="40"/>
        <v>7.5649524356113829E-2</v>
      </c>
      <c r="Q34" s="4">
        <f t="shared" si="6"/>
        <v>0</v>
      </c>
      <c r="R34" s="4">
        <f t="shared" si="41"/>
        <v>0.41291068738417708</v>
      </c>
      <c r="S34" s="348">
        <f t="shared" si="7"/>
        <v>5.9673332514625769E-4</v>
      </c>
      <c r="T34" s="348">
        <f t="shared" si="8"/>
        <v>0.2</v>
      </c>
      <c r="U34" s="348">
        <f t="shared" si="9"/>
        <v>0.20060631000277934</v>
      </c>
      <c r="V34" s="4">
        <f t="shared" si="42"/>
        <v>0.17283007769504019</v>
      </c>
      <c r="W34" s="348">
        <f t="shared" si="10"/>
        <v>5.9740471512147259E-5</v>
      </c>
      <c r="X34" s="348">
        <f t="shared" si="43"/>
        <v>5.9740471512147259E-5</v>
      </c>
      <c r="Y34" s="4">
        <f t="shared" si="44"/>
        <v>0.20645457417502297</v>
      </c>
      <c r="Z34" s="348">
        <f t="shared" si="11"/>
        <v>4.2623491197790065E-5</v>
      </c>
      <c r="AA34" s="525">
        <f t="shared" si="45"/>
        <v>4.2623491197790065E-5</v>
      </c>
      <c r="AB34" s="348">
        <f t="shared" si="46"/>
        <v>0.29237026114730852</v>
      </c>
      <c r="AC34" s="348">
        <f t="shared" si="12"/>
        <v>1.0257644352401447E-3</v>
      </c>
      <c r="AD34" s="348">
        <f t="shared" si="13"/>
        <v>3.8388704761021103E-3</v>
      </c>
      <c r="AE34" s="348">
        <f t="shared" si="14"/>
        <v>7.8115712399999981E-2</v>
      </c>
      <c r="AF34" s="348">
        <f t="shared" si="15"/>
        <v>0</v>
      </c>
      <c r="AG34" s="348">
        <f t="shared" si="16"/>
        <v>8.29946496486096E-2</v>
      </c>
      <c r="AH34" s="348">
        <f t="shared" si="17"/>
        <v>0.29157308886920313</v>
      </c>
      <c r="AI34" s="348">
        <f t="shared" si="18"/>
        <v>3.4856095122618569E-4</v>
      </c>
      <c r="AJ34" s="348">
        <f t="shared" si="19"/>
        <v>2.9817479999999993E-3</v>
      </c>
      <c r="AK34" s="348">
        <f t="shared" si="20"/>
        <v>3.3304979427394286E-3</v>
      </c>
      <c r="AL34" s="348">
        <f t="shared" si="21"/>
        <v>2.9817479999999993E-3</v>
      </c>
      <c r="AM34" s="348">
        <f t="shared" si="22"/>
        <v>3.9492948E-2</v>
      </c>
      <c r="AN34" s="348">
        <f t="shared" si="23"/>
        <v>4.2623808939018402E-3</v>
      </c>
      <c r="AO34" s="348">
        <f t="shared" si="24"/>
        <v>1.452E-5</v>
      </c>
      <c r="AP34" s="348">
        <f t="shared" si="25"/>
        <v>6.6937199999999988E-2</v>
      </c>
      <c r="AQ34" s="348">
        <f t="shared" si="26"/>
        <v>4.7164980923076916E-2</v>
      </c>
      <c r="AR34" s="348">
        <f t="shared" si="27"/>
        <v>2.1419903999999993E-2</v>
      </c>
      <c r="AS34" s="348">
        <f t="shared" si="28"/>
        <v>6.6951719999999992E-2</v>
      </c>
      <c r="AT34" s="348">
        <f t="shared" si="29"/>
        <v>0.40072261845074014</v>
      </c>
      <c r="AU34">
        <f t="shared" si="30"/>
        <v>1.2374999999999998</v>
      </c>
      <c r="AV34" s="526">
        <f t="shared" si="47"/>
        <v>0.75539184117131664</v>
      </c>
      <c r="AW34" s="534">
        <f t="shared" si="31"/>
        <v>4.5805198038016037</v>
      </c>
      <c r="AX34" s="534">
        <f t="shared" si="32"/>
        <v>0.66598105085749482</v>
      </c>
      <c r="AY34" s="9"/>
      <c r="AZ34" s="4">
        <f t="shared" si="48"/>
        <v>75.539184117131668</v>
      </c>
      <c r="BA34" s="348">
        <f t="shared" si="33"/>
        <v>0.20060631000277934</v>
      </c>
      <c r="BB34" s="348">
        <f t="shared" si="34"/>
        <v>0.12581809559134904</v>
      </c>
      <c r="BC34" s="348">
        <f t="shared" si="35"/>
        <v>0.1090599953286096</v>
      </c>
      <c r="BD34" s="348">
        <f t="shared" si="36"/>
        <v>1.6363170782739429E-2</v>
      </c>
      <c r="BE34" s="348">
        <f t="shared" si="37"/>
        <v>4.2623808939018402E-3</v>
      </c>
    </row>
    <row r="35" spans="1:57" x14ac:dyDescent="0.25">
      <c r="A35" s="22" t="s">
        <v>128</v>
      </c>
      <c r="B35" s="5">
        <f>Iq*1000</f>
        <v>2.2000000000000001E-3</v>
      </c>
      <c r="C35" s="427" t="s">
        <v>64</v>
      </c>
      <c r="D35" s="21" t="s">
        <v>131</v>
      </c>
      <c r="G35">
        <v>26</v>
      </c>
      <c r="H35" s="531">
        <f t="shared" si="0"/>
        <v>6.6</v>
      </c>
      <c r="I35" s="4">
        <f t="shared" si="1"/>
        <v>1</v>
      </c>
      <c r="J35" s="348">
        <f t="shared" si="38"/>
        <v>0.39</v>
      </c>
      <c r="K35" s="348">
        <f t="shared" si="2"/>
        <v>0.39</v>
      </c>
      <c r="L35" s="4">
        <f t="shared" si="3"/>
        <v>0.21666666666666667</v>
      </c>
      <c r="M35" s="348">
        <f t="shared" si="4"/>
        <v>0.5014197018194797</v>
      </c>
      <c r="N35" s="4">
        <f t="shared" si="5"/>
        <v>0.59872383257261008</v>
      </c>
      <c r="O35" s="4">
        <f t="shared" si="39"/>
        <v>0.68936191628630505</v>
      </c>
      <c r="P35" s="4">
        <f t="shared" si="40"/>
        <v>9.0638083713694972E-2</v>
      </c>
      <c r="Q35" s="4">
        <f t="shared" si="6"/>
        <v>0</v>
      </c>
      <c r="R35" s="4">
        <f t="shared" si="41"/>
        <v>0.42658237067910215</v>
      </c>
      <c r="S35" s="348">
        <f t="shared" si="7"/>
        <v>6.3690381640971021E-4</v>
      </c>
      <c r="T35" s="348">
        <f t="shared" si="8"/>
        <v>0.2</v>
      </c>
      <c r="U35" s="348">
        <f t="shared" si="9"/>
        <v>0.20064712725009751</v>
      </c>
      <c r="V35" s="4">
        <f t="shared" si="42"/>
        <v>0.17283668295302043</v>
      </c>
      <c r="W35" s="348">
        <f t="shared" si="10"/>
        <v>5.9745037948405809E-5</v>
      </c>
      <c r="X35" s="348">
        <f t="shared" si="43"/>
        <v>5.9745037948405809E-5</v>
      </c>
      <c r="Y35" s="4">
        <f t="shared" si="44"/>
        <v>0.21329032553833183</v>
      </c>
      <c r="Z35" s="348">
        <f t="shared" si="11"/>
        <v>4.5492762968247565E-5</v>
      </c>
      <c r="AA35" s="525">
        <f t="shared" si="45"/>
        <v>4.5492762968247565E-5</v>
      </c>
      <c r="AB35" s="348">
        <f t="shared" si="46"/>
        <v>0.30206722133224656</v>
      </c>
      <c r="AC35" s="348">
        <f t="shared" si="12"/>
        <v>1.094935274440613E-3</v>
      </c>
      <c r="AD35" s="348">
        <f t="shared" si="13"/>
        <v>3.9924252951461948E-3</v>
      </c>
      <c r="AE35" s="348">
        <f t="shared" si="14"/>
        <v>7.8115712399999981E-2</v>
      </c>
      <c r="AF35" s="348">
        <f t="shared" si="15"/>
        <v>0</v>
      </c>
      <c r="AG35" s="348">
        <f t="shared" si="16"/>
        <v>8.3218380918032617E-2</v>
      </c>
      <c r="AH35" s="348">
        <f t="shared" si="17"/>
        <v>0.30121074477982762</v>
      </c>
      <c r="AI35" s="348">
        <f t="shared" si="18"/>
        <v>3.7198444236035566E-4</v>
      </c>
      <c r="AJ35" s="348">
        <f t="shared" si="19"/>
        <v>3.1010179199999995E-3</v>
      </c>
      <c r="AK35" s="348">
        <f t="shared" si="20"/>
        <v>3.4732126968815219E-3</v>
      </c>
      <c r="AL35" s="348">
        <f t="shared" si="21"/>
        <v>3.1010179199999995E-3</v>
      </c>
      <c r="AM35" s="348">
        <f t="shared" si="22"/>
        <v>4.1072665919999994E-2</v>
      </c>
      <c r="AN35" s="348">
        <f t="shared" si="23"/>
        <v>4.549312974355073E-3</v>
      </c>
      <c r="AO35" s="348">
        <f t="shared" si="24"/>
        <v>1.452E-5</v>
      </c>
      <c r="AP35" s="348">
        <f t="shared" si="25"/>
        <v>6.6937199999999988E-2</v>
      </c>
      <c r="AQ35" s="348">
        <f t="shared" si="26"/>
        <v>4.7164980923076916E-2</v>
      </c>
      <c r="AR35" s="348">
        <f t="shared" si="27"/>
        <v>2.1419903999999993E-2</v>
      </c>
      <c r="AS35" s="348">
        <f t="shared" si="28"/>
        <v>6.6951719999999992E-2</v>
      </c>
      <c r="AT35" s="348">
        <f t="shared" si="29"/>
        <v>0.40311867548028329</v>
      </c>
      <c r="AU35">
        <f t="shared" si="30"/>
        <v>1.2869999999999999</v>
      </c>
      <c r="AV35" s="526">
        <f t="shared" si="47"/>
        <v>0.76148498840430323</v>
      </c>
      <c r="AW35" s="534">
        <f t="shared" si="31"/>
        <v>4.6337062978597698</v>
      </c>
      <c r="AX35" s="534">
        <f t="shared" si="32"/>
        <v>0.6930067327345979</v>
      </c>
      <c r="AY35" s="9"/>
      <c r="AZ35" s="4">
        <f t="shared" si="48"/>
        <v>76.148498840430321</v>
      </c>
      <c r="BA35" s="348">
        <f t="shared" si="33"/>
        <v>0.20064712725009751</v>
      </c>
      <c r="BB35" s="348">
        <f t="shared" si="34"/>
        <v>0.12776425953491413</v>
      </c>
      <c r="BC35" s="348">
        <f t="shared" si="35"/>
        <v>0.11032634042523262</v>
      </c>
      <c r="BD35" s="348">
        <f t="shared" si="36"/>
        <v>1.702719245048152E-2</v>
      </c>
      <c r="BE35" s="348">
        <f t="shared" si="37"/>
        <v>4.549312974355073E-3</v>
      </c>
    </row>
    <row r="36" spans="1:57" ht="13" x14ac:dyDescent="0.3">
      <c r="A36" s="24" t="s">
        <v>508</v>
      </c>
      <c r="B36" s="15" t="s">
        <v>111</v>
      </c>
      <c r="C36" s="24" t="s">
        <v>76</v>
      </c>
      <c r="D36" s="17" t="s">
        <v>107</v>
      </c>
      <c r="G36">
        <v>27</v>
      </c>
      <c r="H36" s="531">
        <f t="shared" si="0"/>
        <v>6.6</v>
      </c>
      <c r="I36" s="4">
        <f t="shared" si="1"/>
        <v>1</v>
      </c>
      <c r="J36" s="348">
        <f t="shared" si="38"/>
        <v>0.40500000000000003</v>
      </c>
      <c r="K36" s="348">
        <f t="shared" si="2"/>
        <v>0.40500000000000003</v>
      </c>
      <c r="L36" s="4">
        <f t="shared" si="3"/>
        <v>0.22500000000000003</v>
      </c>
      <c r="M36" s="348">
        <f t="shared" si="4"/>
        <v>0.50147424849879108</v>
      </c>
      <c r="N36" s="4">
        <f t="shared" si="5"/>
        <v>0.5987466996049694</v>
      </c>
      <c r="O36" s="4">
        <f t="shared" si="39"/>
        <v>0.70437334980248467</v>
      </c>
      <c r="P36" s="4">
        <f t="shared" si="40"/>
        <v>0.10562665019751533</v>
      </c>
      <c r="Q36" s="4">
        <f t="shared" si="6"/>
        <v>0</v>
      </c>
      <c r="R36" s="4">
        <f t="shared" si="41"/>
        <v>0.44034055100265329</v>
      </c>
      <c r="S36" s="348">
        <f t="shared" si="7"/>
        <v>6.7864930300062115E-4</v>
      </c>
      <c r="T36" s="348">
        <f t="shared" si="8"/>
        <v>0.2</v>
      </c>
      <c r="U36" s="348">
        <f t="shared" si="9"/>
        <v>0.2006895451285943</v>
      </c>
      <c r="V36" s="4">
        <f t="shared" si="42"/>
        <v>0.17284328409666455</v>
      </c>
      <c r="W36" s="348">
        <f t="shared" si="10"/>
        <v>5.974960171464059E-5</v>
      </c>
      <c r="X36" s="348">
        <f t="shared" si="43"/>
        <v>5.974960171464059E-5</v>
      </c>
      <c r="Y36" s="4">
        <f t="shared" si="44"/>
        <v>0.22016931845929019</v>
      </c>
      <c r="Z36" s="348">
        <f t="shared" si="11"/>
        <v>4.8474528790828342E-5</v>
      </c>
      <c r="AA36" s="525">
        <f t="shared" si="45"/>
        <v>4.8474528790828342E-5</v>
      </c>
      <c r="AB36" s="348">
        <f t="shared" si="46"/>
        <v>0.31182648527504836</v>
      </c>
      <c r="AC36" s="348">
        <f t="shared" si="12"/>
        <v>1.1668290830278794E-3</v>
      </c>
      <c r="AD36" s="348">
        <f t="shared" si="13"/>
        <v>4.1459801141902801E-3</v>
      </c>
      <c r="AE36" s="348">
        <f t="shared" si="14"/>
        <v>7.8115712399999981E-2</v>
      </c>
      <c r="AF36" s="348">
        <f t="shared" si="15"/>
        <v>0</v>
      </c>
      <c r="AG36" s="348">
        <f t="shared" si="16"/>
        <v>8.3444879070388625E-2</v>
      </c>
      <c r="AH36" s="348">
        <f t="shared" si="17"/>
        <v>0.31090841728446394</v>
      </c>
      <c r="AI36" s="348">
        <f t="shared" si="18"/>
        <v>3.9632258014715444E-4</v>
      </c>
      <c r="AJ36" s="348">
        <f t="shared" si="19"/>
        <v>3.2202878399999997E-3</v>
      </c>
      <c r="AK36" s="348">
        <f t="shared" si="20"/>
        <v>3.6168437836680161E-3</v>
      </c>
      <c r="AL36" s="348">
        <f t="shared" si="21"/>
        <v>3.2202878399999997E-3</v>
      </c>
      <c r="AM36" s="348">
        <f t="shared" si="22"/>
        <v>4.2652383840000002E-2</v>
      </c>
      <c r="AN36" s="348">
        <f t="shared" si="23"/>
        <v>4.8474950214330084E-3</v>
      </c>
      <c r="AO36" s="348">
        <f t="shared" si="24"/>
        <v>1.452E-5</v>
      </c>
      <c r="AP36" s="348">
        <f t="shared" si="25"/>
        <v>6.6937199999999988E-2</v>
      </c>
      <c r="AQ36" s="348">
        <f t="shared" si="26"/>
        <v>4.7164980923076916E-2</v>
      </c>
      <c r="AR36" s="348">
        <f t="shared" si="27"/>
        <v>2.1419903999999993E-2</v>
      </c>
      <c r="AS36" s="348">
        <f t="shared" si="28"/>
        <v>6.6951719999999992E-2</v>
      </c>
      <c r="AT36" s="348">
        <f t="shared" si="29"/>
        <v>0.40553137881458939</v>
      </c>
      <c r="AU36">
        <f t="shared" si="30"/>
        <v>1.3365</v>
      </c>
      <c r="AV36" s="526">
        <f t="shared" si="47"/>
        <v>0.76720776459805007</v>
      </c>
      <c r="AW36" s="534">
        <f t="shared" si="31"/>
        <v>4.6870090010011225</v>
      </c>
      <c r="AX36" s="534">
        <f t="shared" si="32"/>
        <v>0.72006970935032832</v>
      </c>
      <c r="AY36" s="9"/>
      <c r="AZ36" s="4">
        <f t="shared" si="48"/>
        <v>76.720776459805009</v>
      </c>
      <c r="BA36" s="348">
        <f t="shared" si="33"/>
        <v>0.2006895451285943</v>
      </c>
      <c r="BB36" s="348">
        <f t="shared" si="34"/>
        <v>0.12971410669405664</v>
      </c>
      <c r="BC36" s="348">
        <f t="shared" si="35"/>
        <v>0.11159545240478863</v>
      </c>
      <c r="BD36" s="348">
        <f t="shared" si="36"/>
        <v>1.7692130450868017E-2</v>
      </c>
      <c r="BE36" s="348">
        <f t="shared" si="37"/>
        <v>4.8474950214330084E-3</v>
      </c>
    </row>
    <row r="37" spans="1:57" x14ac:dyDescent="0.25">
      <c r="A37" s="23" t="s">
        <v>71</v>
      </c>
      <c r="B37" s="5">
        <f>Rdson1*1000</f>
        <v>12</v>
      </c>
      <c r="C37" s="429" t="s">
        <v>450</v>
      </c>
      <c r="D37" s="427" t="s">
        <v>511</v>
      </c>
      <c r="G37">
        <v>28</v>
      </c>
      <c r="H37" s="531">
        <f t="shared" si="0"/>
        <v>6.6</v>
      </c>
      <c r="I37" s="4">
        <f t="shared" si="1"/>
        <v>1</v>
      </c>
      <c r="J37" s="348">
        <f t="shared" si="38"/>
        <v>0.42</v>
      </c>
      <c r="K37" s="348">
        <f t="shared" si="2"/>
        <v>0.42</v>
      </c>
      <c r="L37" s="4">
        <f t="shared" si="3"/>
        <v>0.23333333333333334</v>
      </c>
      <c r="M37" s="348">
        <f t="shared" si="4"/>
        <v>0.50152879094294656</v>
      </c>
      <c r="N37" s="4">
        <f t="shared" si="5"/>
        <v>0.59876955238651042</v>
      </c>
      <c r="O37" s="4">
        <f t="shared" si="39"/>
        <v>0.71938477619325525</v>
      </c>
      <c r="P37" s="4">
        <f t="shared" si="40"/>
        <v>0.12061522380674478</v>
      </c>
      <c r="Q37" s="4">
        <f t="shared" si="6"/>
        <v>0</v>
      </c>
      <c r="R37" s="4">
        <f t="shared" si="41"/>
        <v>0.45417736778204665</v>
      </c>
      <c r="S37" s="348">
        <f t="shared" si="7"/>
        <v>7.2196978491899963E-4</v>
      </c>
      <c r="T37" s="348">
        <f t="shared" si="8"/>
        <v>0.2</v>
      </c>
      <c r="U37" s="348">
        <f t="shared" si="9"/>
        <v>0.20073356367034215</v>
      </c>
      <c r="V37" s="4">
        <f t="shared" si="42"/>
        <v>0.17284988112645178</v>
      </c>
      <c r="W37" s="348">
        <f t="shared" si="10"/>
        <v>5.9754162810857025E-5</v>
      </c>
      <c r="X37" s="348">
        <f t="shared" si="43"/>
        <v>5.9754162810857025E-5</v>
      </c>
      <c r="Y37" s="4">
        <f t="shared" si="44"/>
        <v>0.22708762238440483</v>
      </c>
      <c r="Z37" s="348">
        <f t="shared" si="11"/>
        <v>5.1568788240202044E-5</v>
      </c>
      <c r="AA37" s="525">
        <f t="shared" si="45"/>
        <v>5.1568788240202044E-5</v>
      </c>
      <c r="AB37" s="348">
        <f t="shared" si="46"/>
        <v>0.3216424960052765</v>
      </c>
      <c r="AC37" s="348">
        <f t="shared" si="12"/>
        <v>1.2414467428380517E-3</v>
      </c>
      <c r="AD37" s="348">
        <f t="shared" si="13"/>
        <v>4.2995349332343637E-3</v>
      </c>
      <c r="AE37" s="348">
        <f t="shared" si="14"/>
        <v>7.8115712399999981E-2</v>
      </c>
      <c r="AF37" s="348">
        <f t="shared" si="15"/>
        <v>0</v>
      </c>
      <c r="AG37" s="348">
        <f t="shared" si="16"/>
        <v>8.367414541127953E-2</v>
      </c>
      <c r="AH37" s="348">
        <f t="shared" si="17"/>
        <v>0.32066054663604027</v>
      </c>
      <c r="AI37" s="348">
        <f t="shared" si="18"/>
        <v>4.2157506329258899E-4</v>
      </c>
      <c r="AJ37" s="348">
        <f t="shared" si="19"/>
        <v>3.3395577599999995E-3</v>
      </c>
      <c r="AK37" s="348">
        <f t="shared" si="20"/>
        <v>3.7613909766590265E-3</v>
      </c>
      <c r="AL37" s="348">
        <f t="shared" si="21"/>
        <v>3.3395577599999995E-3</v>
      </c>
      <c r="AM37" s="348">
        <f t="shared" si="22"/>
        <v>4.4232101759999989E-2</v>
      </c>
      <c r="AN37" s="348">
        <f t="shared" si="23"/>
        <v>5.1569270351357124E-3</v>
      </c>
      <c r="AO37" s="348">
        <f t="shared" si="24"/>
        <v>1.452E-5</v>
      </c>
      <c r="AP37" s="348">
        <f t="shared" si="25"/>
        <v>6.6937199999999988E-2</v>
      </c>
      <c r="AQ37" s="348">
        <f t="shared" si="26"/>
        <v>4.7164980923076916E-2</v>
      </c>
      <c r="AR37" s="348">
        <f t="shared" si="27"/>
        <v>2.1419903999999993E-2</v>
      </c>
      <c r="AS37" s="348">
        <f t="shared" si="28"/>
        <v>6.6951719999999992E-2</v>
      </c>
      <c r="AT37" s="348">
        <f t="shared" si="29"/>
        <v>0.40796072956446738</v>
      </c>
      <c r="AU37">
        <f t="shared" si="30"/>
        <v>1.3859999999999999</v>
      </c>
      <c r="AV37" s="526">
        <f t="shared" si="47"/>
        <v>0.77259216278189602</v>
      </c>
      <c r="AW37" s="534">
        <f t="shared" si="31"/>
        <v>4.7404279680609402</v>
      </c>
      <c r="AX37" s="534">
        <f t="shared" si="32"/>
        <v>0.74716997148858233</v>
      </c>
      <c r="AY37" s="9"/>
      <c r="AZ37" s="4">
        <f t="shared" si="48"/>
        <v>77.259216278189598</v>
      </c>
      <c r="BA37" s="348">
        <f t="shared" si="33"/>
        <v>0.20073356367034215</v>
      </c>
      <c r="BB37" s="348">
        <f t="shared" si="34"/>
        <v>0.13166763814793853</v>
      </c>
      <c r="BC37" s="348">
        <f t="shared" si="35"/>
        <v>0.11286733257287952</v>
      </c>
      <c r="BD37" s="348">
        <f t="shared" si="36"/>
        <v>1.8357984557459024E-2</v>
      </c>
      <c r="BE37" s="348">
        <f t="shared" si="37"/>
        <v>5.1569270351357124E-3</v>
      </c>
    </row>
    <row r="38" spans="1:57" x14ac:dyDescent="0.25">
      <c r="A38" s="22" t="s">
        <v>79</v>
      </c>
      <c r="B38" s="5">
        <f>RdsonTopTc*1000000</f>
        <v>4000</v>
      </c>
      <c r="C38" s="427" t="s">
        <v>81</v>
      </c>
      <c r="D38" s="21" t="s">
        <v>109</v>
      </c>
      <c r="G38">
        <v>29</v>
      </c>
      <c r="H38" s="531">
        <f t="shared" si="0"/>
        <v>6.6</v>
      </c>
      <c r="I38" s="4">
        <f t="shared" si="1"/>
        <v>1</v>
      </c>
      <c r="J38" s="348">
        <f t="shared" si="38"/>
        <v>0.435</v>
      </c>
      <c r="K38" s="348">
        <f t="shared" si="2"/>
        <v>0.435</v>
      </c>
      <c r="L38" s="4">
        <f t="shared" si="3"/>
        <v>0.2416666666666667</v>
      </c>
      <c r="M38" s="348">
        <f t="shared" si="4"/>
        <v>0.50158332915243931</v>
      </c>
      <c r="N38" s="4">
        <f t="shared" si="5"/>
        <v>0.59879239091889269</v>
      </c>
      <c r="O38" s="4">
        <f t="shared" si="39"/>
        <v>0.73439619545944634</v>
      </c>
      <c r="P38" s="4">
        <f t="shared" si="40"/>
        <v>0.13560380454055365</v>
      </c>
      <c r="Q38" s="4">
        <f t="shared" si="6"/>
        <v>0</v>
      </c>
      <c r="R38" s="4">
        <f t="shared" si="41"/>
        <v>0.46808584748796916</v>
      </c>
      <c r="S38" s="348">
        <f t="shared" si="7"/>
        <v>7.6686526216485616E-4</v>
      </c>
      <c r="T38" s="348">
        <f t="shared" si="8"/>
        <v>0.2</v>
      </c>
      <c r="U38" s="348">
        <f t="shared" si="9"/>
        <v>0.20077918290862395</v>
      </c>
      <c r="V38" s="4">
        <f t="shared" si="42"/>
        <v>0.17285647404286117</v>
      </c>
      <c r="W38" s="348">
        <f t="shared" si="10"/>
        <v>5.9758721237060681E-5</v>
      </c>
      <c r="X38" s="348">
        <f t="shared" si="43"/>
        <v>5.9758721237060681E-5</v>
      </c>
      <c r="Y38" s="4">
        <f t="shared" si="44"/>
        <v>0.23404175028202512</v>
      </c>
      <c r="Z38" s="348">
        <f t="shared" si="11"/>
        <v>5.4775540875073804E-5</v>
      </c>
      <c r="AA38" s="525">
        <f t="shared" si="45"/>
        <v>5.4775540875073804E-5</v>
      </c>
      <c r="AB38" s="348">
        <f t="shared" si="46"/>
        <v>0.33151032356603777</v>
      </c>
      <c r="AC38" s="348">
        <f t="shared" si="12"/>
        <v>1.3187891355703088E-3</v>
      </c>
      <c r="AD38" s="348">
        <f t="shared" si="13"/>
        <v>4.4530897522784491E-3</v>
      </c>
      <c r="AE38" s="348">
        <f t="shared" si="14"/>
        <v>7.8115712399999981E-2</v>
      </c>
      <c r="AF38" s="348">
        <f t="shared" si="15"/>
        <v>0</v>
      </c>
      <c r="AG38" s="348">
        <f t="shared" si="16"/>
        <v>8.3906181253969897E-2</v>
      </c>
      <c r="AH38" s="348">
        <f t="shared" si="17"/>
        <v>0.33046220054292336</v>
      </c>
      <c r="AI38" s="348">
        <f t="shared" si="18"/>
        <v>4.477415905494522E-4</v>
      </c>
      <c r="AJ38" s="348">
        <f t="shared" si="19"/>
        <v>3.4588276799999993E-3</v>
      </c>
      <c r="AK38" s="348">
        <f t="shared" si="20"/>
        <v>3.9068540502478219E-3</v>
      </c>
      <c r="AL38" s="348">
        <f t="shared" si="21"/>
        <v>3.4588276799999993E-3</v>
      </c>
      <c r="AM38" s="348">
        <f t="shared" si="22"/>
        <v>4.5811819679999997E-2</v>
      </c>
      <c r="AN38" s="348">
        <f t="shared" si="23"/>
        <v>5.4776090154632587E-3</v>
      </c>
      <c r="AO38" s="348">
        <f t="shared" si="24"/>
        <v>1.452E-5</v>
      </c>
      <c r="AP38" s="348">
        <f t="shared" si="25"/>
        <v>6.6937199999999988E-2</v>
      </c>
      <c r="AQ38" s="348">
        <f t="shared" si="26"/>
        <v>4.7164980923076916E-2</v>
      </c>
      <c r="AR38" s="348">
        <f t="shared" si="27"/>
        <v>2.1419903999999993E-2</v>
      </c>
      <c r="AS38" s="348">
        <f t="shared" si="28"/>
        <v>6.6951719999999992E-2</v>
      </c>
      <c r="AT38" s="348">
        <f t="shared" si="29"/>
        <v>0.41040672885041701</v>
      </c>
      <c r="AU38">
        <f t="shared" si="30"/>
        <v>1.4355</v>
      </c>
      <c r="AV38" s="526">
        <f t="shared" si="47"/>
        <v>0.77766659472225463</v>
      </c>
      <c r="AW38" s="534">
        <f t="shared" si="31"/>
        <v>4.7939632541963357</v>
      </c>
      <c r="AX38" s="534">
        <f t="shared" si="32"/>
        <v>0.77430750996716635</v>
      </c>
      <c r="AY38" s="9"/>
      <c r="AZ38" s="4">
        <f t="shared" si="48"/>
        <v>77.76665947222547</v>
      </c>
      <c r="BA38" s="348">
        <f t="shared" si="33"/>
        <v>0.20077918290862395</v>
      </c>
      <c r="BB38" s="348">
        <f t="shared" si="34"/>
        <v>0.13362485498421772</v>
      </c>
      <c r="BC38" s="348">
        <f t="shared" si="35"/>
        <v>0.11414198224276989</v>
      </c>
      <c r="BD38" s="348">
        <f t="shared" si="36"/>
        <v>1.9024754544647821E-2</v>
      </c>
      <c r="BE38" s="348">
        <f t="shared" si="37"/>
        <v>5.4776090154632587E-3</v>
      </c>
    </row>
    <row r="39" spans="1:57" x14ac:dyDescent="0.25">
      <c r="A39" s="23" t="s">
        <v>70</v>
      </c>
      <c r="B39" s="5">
        <f>Qg_Q1*1000000000</f>
        <v>8</v>
      </c>
      <c r="C39" s="427" t="s">
        <v>65</v>
      </c>
      <c r="D39" s="21" t="s">
        <v>99</v>
      </c>
      <c r="G39">
        <v>30</v>
      </c>
      <c r="H39" s="531">
        <f t="shared" si="0"/>
        <v>6.6</v>
      </c>
      <c r="I39" s="4">
        <f t="shared" si="1"/>
        <v>1</v>
      </c>
      <c r="J39" s="348">
        <f t="shared" si="38"/>
        <v>0.45</v>
      </c>
      <c r="K39" s="348">
        <f t="shared" si="2"/>
        <v>0.45</v>
      </c>
      <c r="L39" s="4">
        <f t="shared" si="3"/>
        <v>0.25</v>
      </c>
      <c r="M39" s="348">
        <f t="shared" si="4"/>
        <v>0.50163786312776248</v>
      </c>
      <c r="N39" s="4">
        <f t="shared" si="5"/>
        <v>0.59881521520377556</v>
      </c>
      <c r="O39" s="4">
        <f t="shared" si="39"/>
        <v>0.74940760760188785</v>
      </c>
      <c r="P39" s="4">
        <f t="shared" si="40"/>
        <v>0.15059239239811223</v>
      </c>
      <c r="Q39" s="4">
        <f t="shared" si="6"/>
        <v>0</v>
      </c>
      <c r="R39" s="4">
        <f t="shared" si="41"/>
        <v>0.48205978726360144</v>
      </c>
      <c r="S39" s="348">
        <f t="shared" si="7"/>
        <v>8.1333573473820039E-4</v>
      </c>
      <c r="T39" s="348">
        <f t="shared" si="8"/>
        <v>0.2</v>
      </c>
      <c r="U39" s="348">
        <f t="shared" si="9"/>
        <v>0.20082640287793338</v>
      </c>
      <c r="V39" s="4">
        <f t="shared" si="42"/>
        <v>0.17286306284637176</v>
      </c>
      <c r="W39" s="348">
        <f t="shared" si="10"/>
        <v>5.9763276993257348E-5</v>
      </c>
      <c r="X39" s="348">
        <f t="shared" si="43"/>
        <v>5.9763276993257348E-5</v>
      </c>
      <c r="Y39" s="4">
        <f t="shared" si="44"/>
        <v>0.2410286004568552</v>
      </c>
      <c r="Z39" s="348">
        <f t="shared" si="11"/>
        <v>5.809478623819034E-5</v>
      </c>
      <c r="AA39" s="525">
        <f t="shared" si="45"/>
        <v>5.809478623819034E-5</v>
      </c>
      <c r="AB39" s="348">
        <f t="shared" si="46"/>
        <v>0.34142558276376567</v>
      </c>
      <c r="AC39" s="348">
        <f t="shared" si="12"/>
        <v>1.3988571427869239E-3</v>
      </c>
      <c r="AD39" s="348">
        <f t="shared" si="13"/>
        <v>4.6066445713225327E-3</v>
      </c>
      <c r="AE39" s="348">
        <f t="shared" si="14"/>
        <v>7.8115712399999981E-2</v>
      </c>
      <c r="AF39" s="348">
        <f t="shared" si="15"/>
        <v>0</v>
      </c>
      <c r="AG39" s="348">
        <f t="shared" si="16"/>
        <v>8.414098791939742E-2</v>
      </c>
      <c r="AH39" s="348">
        <f t="shared" si="17"/>
        <v>0.340308991845722</v>
      </c>
      <c r="AI39" s="348">
        <f t="shared" si="18"/>
        <v>4.7482186071731182E-4</v>
      </c>
      <c r="AJ39" s="348">
        <f t="shared" si="19"/>
        <v>3.5780975999999995E-3</v>
      </c>
      <c r="AK39" s="348">
        <f t="shared" si="20"/>
        <v>4.053232779660053E-3</v>
      </c>
      <c r="AL39" s="348">
        <f t="shared" si="21"/>
        <v>3.5780975999999995E-3</v>
      </c>
      <c r="AM39" s="348">
        <f t="shared" si="22"/>
        <v>4.7391537599999992E-2</v>
      </c>
      <c r="AN39" s="348">
        <f t="shared" si="23"/>
        <v>5.8095409624157176E-3</v>
      </c>
      <c r="AO39" s="348">
        <f t="shared" si="24"/>
        <v>1.452E-5</v>
      </c>
      <c r="AP39" s="348">
        <f t="shared" si="25"/>
        <v>6.6937199999999988E-2</v>
      </c>
      <c r="AQ39" s="348">
        <f t="shared" si="26"/>
        <v>4.7164980923076916E-2</v>
      </c>
      <c r="AR39" s="348">
        <f t="shared" si="27"/>
        <v>2.1419903999999993E-2</v>
      </c>
      <c r="AS39" s="348">
        <f t="shared" si="28"/>
        <v>6.6951719999999992E-2</v>
      </c>
      <c r="AT39" s="348">
        <f t="shared" si="29"/>
        <v>0.41286937780263799</v>
      </c>
      <c r="AU39">
        <f t="shared" si="30"/>
        <v>1.4849999999999999</v>
      </c>
      <c r="AV39" s="526">
        <f t="shared" si="47"/>
        <v>0.78245637838328996</v>
      </c>
      <c r="AW39" s="534">
        <f t="shared" si="31"/>
        <v>4.8476149148866909</v>
      </c>
      <c r="AX39" s="534">
        <f t="shared" si="32"/>
        <v>0.80148231563776406</v>
      </c>
      <c r="AY39" s="9"/>
      <c r="AZ39" s="4">
        <f t="shared" si="48"/>
        <v>78.245637838329003</v>
      </c>
      <c r="BA39" s="348">
        <f t="shared" si="33"/>
        <v>0.20082640287793338</v>
      </c>
      <c r="BB39" s="348">
        <f t="shared" si="34"/>
        <v>0.13558575829905745</v>
      </c>
      <c r="BC39" s="348">
        <f t="shared" si="35"/>
        <v>0.11541940273539741</v>
      </c>
      <c r="BD39" s="348">
        <f t="shared" si="36"/>
        <v>1.9692440187660049E-2</v>
      </c>
      <c r="BE39" s="348">
        <f t="shared" si="37"/>
        <v>5.8095409624157176E-3</v>
      </c>
    </row>
    <row r="40" spans="1:57" x14ac:dyDescent="0.25">
      <c r="A40" s="23" t="s">
        <v>120</v>
      </c>
      <c r="B40" s="5">
        <f>Qgd_Q1*1000000000</f>
        <v>2.9</v>
      </c>
      <c r="C40" s="427" t="s">
        <v>65</v>
      </c>
      <c r="D40" s="21" t="s">
        <v>121</v>
      </c>
      <c r="G40">
        <v>31</v>
      </c>
      <c r="H40" s="531">
        <f t="shared" si="0"/>
        <v>6.6</v>
      </c>
      <c r="I40" s="4">
        <f t="shared" si="1"/>
        <v>1</v>
      </c>
      <c r="J40" s="348">
        <f t="shared" si="38"/>
        <v>0.46500000000000002</v>
      </c>
      <c r="K40" s="348">
        <f t="shared" si="2"/>
        <v>0.46500000000000002</v>
      </c>
      <c r="L40" s="4">
        <f t="shared" si="3"/>
        <v>0.25833333333333336</v>
      </c>
      <c r="M40" s="348">
        <f t="shared" si="4"/>
        <v>0.50169239286940892</v>
      </c>
      <c r="N40" s="4">
        <f t="shared" si="5"/>
        <v>0.59883802524281782</v>
      </c>
      <c r="O40" s="4">
        <f t="shared" si="39"/>
        <v>0.76441901262140899</v>
      </c>
      <c r="P40" s="4">
        <f t="shared" si="40"/>
        <v>0.16558098737859112</v>
      </c>
      <c r="Q40" s="4">
        <f t="shared" si="6"/>
        <v>0</v>
      </c>
      <c r="R40" s="4">
        <f t="shared" si="41"/>
        <v>0.49609365551247125</v>
      </c>
      <c r="S40" s="348">
        <f t="shared" si="7"/>
        <v>8.6138120263904285E-4</v>
      </c>
      <c r="T40" s="348">
        <f t="shared" si="8"/>
        <v>0.2</v>
      </c>
      <c r="U40" s="348">
        <f t="shared" si="9"/>
        <v>0.20087522361397481</v>
      </c>
      <c r="V40" s="4">
        <f t="shared" si="42"/>
        <v>0.1728696475374624</v>
      </c>
      <c r="W40" s="348">
        <f t="shared" si="10"/>
        <v>5.976783007945296E-5</v>
      </c>
      <c r="X40" s="348">
        <f t="shared" si="43"/>
        <v>5.976783007945296E-5</v>
      </c>
      <c r="Y40" s="4">
        <f t="shared" si="44"/>
        <v>0.24804540684388063</v>
      </c>
      <c r="Z40" s="348">
        <f t="shared" si="11"/>
        <v>6.1526523856346262E-5</v>
      </c>
      <c r="AA40" s="525">
        <f t="shared" si="45"/>
        <v>6.1526523856346262E-5</v>
      </c>
      <c r="AB40" s="348">
        <f t="shared" si="46"/>
        <v>0.35138436290303876</v>
      </c>
      <c r="AC40" s="348">
        <f t="shared" si="12"/>
        <v>1.4816516459132934E-3</v>
      </c>
      <c r="AD40" s="348">
        <f t="shared" si="13"/>
        <v>4.7601993903666172E-3</v>
      </c>
      <c r="AE40" s="348">
        <f t="shared" si="14"/>
        <v>7.8115712399999981E-2</v>
      </c>
      <c r="AF40" s="348">
        <f t="shared" si="15"/>
        <v>0</v>
      </c>
      <c r="AG40" s="348">
        <f t="shared" si="16"/>
        <v>8.4378566736183686E-2</v>
      </c>
      <c r="AH40" s="348">
        <f t="shared" si="17"/>
        <v>0.35019700819246308</v>
      </c>
      <c r="AI40" s="348">
        <f t="shared" si="18"/>
        <v>5.0281557264250339E-4</v>
      </c>
      <c r="AJ40" s="348">
        <f t="shared" si="19"/>
        <v>3.6973675199999997E-3</v>
      </c>
      <c r="AK40" s="348">
        <f t="shared" si="20"/>
        <v>4.2005269409529835E-3</v>
      </c>
      <c r="AL40" s="348">
        <f t="shared" si="21"/>
        <v>3.6973675199999997E-3</v>
      </c>
      <c r="AM40" s="348">
        <f t="shared" si="22"/>
        <v>4.897125552E-2</v>
      </c>
      <c r="AN40" s="348">
        <f t="shared" si="23"/>
        <v>6.1527228759931628E-3</v>
      </c>
      <c r="AO40" s="348">
        <f t="shared" si="24"/>
        <v>1.452E-5</v>
      </c>
      <c r="AP40" s="348">
        <f t="shared" si="25"/>
        <v>6.6937199999999988E-2</v>
      </c>
      <c r="AQ40" s="348">
        <f t="shared" si="26"/>
        <v>4.7164980923076916E-2</v>
      </c>
      <c r="AR40" s="348">
        <f t="shared" si="27"/>
        <v>2.1419903999999993E-2</v>
      </c>
      <c r="AS40" s="348">
        <f t="shared" si="28"/>
        <v>6.6951719999999992E-2</v>
      </c>
      <c r="AT40" s="348">
        <f t="shared" si="29"/>
        <v>0.41534867756104044</v>
      </c>
      <c r="AU40">
        <f t="shared" si="30"/>
        <v>1.5345</v>
      </c>
      <c r="AV40" s="526">
        <f t="shared" si="47"/>
        <v>0.78698414787727144</v>
      </c>
      <c r="AW40" s="534">
        <f t="shared" si="31"/>
        <v>4.9013830059341146</v>
      </c>
      <c r="AX40" s="534">
        <f t="shared" si="32"/>
        <v>0.8286943793859064</v>
      </c>
      <c r="AY40" s="9"/>
      <c r="AZ40" s="4">
        <f t="shared" si="48"/>
        <v>78.698414787727145</v>
      </c>
      <c r="BA40" s="348">
        <f t="shared" si="33"/>
        <v>0.20087522361397481</v>
      </c>
      <c r="BB40" s="348">
        <f t="shared" si="34"/>
        <v>0.13755034919713666</v>
      </c>
      <c r="BC40" s="348">
        <f t="shared" si="35"/>
        <v>0.11669959537938368</v>
      </c>
      <c r="BD40" s="348">
        <f t="shared" si="36"/>
        <v>2.0361041262552983E-2</v>
      </c>
      <c r="BE40" s="348">
        <f t="shared" si="37"/>
        <v>6.1527228759931628E-3</v>
      </c>
    </row>
    <row r="41" spans="1:57" x14ac:dyDescent="0.25">
      <c r="A41" s="23" t="s">
        <v>124</v>
      </c>
      <c r="B41" s="5">
        <f>Qgs_Q1*1000000000</f>
        <v>3.1</v>
      </c>
      <c r="C41" s="427" t="s">
        <v>65</v>
      </c>
      <c r="D41" s="21"/>
      <c r="G41">
        <v>32</v>
      </c>
      <c r="H41" s="531">
        <f t="shared" ref="H41:H72" si="49">Vin</f>
        <v>6.6</v>
      </c>
      <c r="I41" s="4">
        <f t="shared" ref="I41:I72" si="50">MODE</f>
        <v>1</v>
      </c>
      <c r="J41" s="348">
        <f t="shared" si="38"/>
        <v>0.48</v>
      </c>
      <c r="K41" s="348">
        <f t="shared" ref="K41:K72" si="51">Iout*G41/100/Number_of_Phases</f>
        <v>0.48</v>
      </c>
      <c r="L41" s="4">
        <f t="shared" ref="L41:L72" si="52">Vout*K41/(Vin*Efficiency)</f>
        <v>0.26666666666666666</v>
      </c>
      <c r="M41" s="348">
        <f t="shared" ref="M41:M72" si="53">(Vout+(Rdson2+Rs+Rdcr)*K41)/(Vin+(Rs+Rdson2-Rdson1)*K41)</f>
        <v>0.50174691837787189</v>
      </c>
      <c r="N41" s="4">
        <f t="shared" ref="N41:N72" si="54">(Vin-(Rdson1+Rdcr)*K41-Vout)*M41/(Fsw*Lf)</f>
        <v>0.59886082103767879</v>
      </c>
      <c r="O41" s="4">
        <f t="shared" si="39"/>
        <v>0.77943041051883943</v>
      </c>
      <c r="P41" s="4">
        <f t="shared" si="40"/>
        <v>0.18056958948116059</v>
      </c>
      <c r="Q41" s="4">
        <f t="shared" ref="Q41:Q72" si="55">IF(MIN(Vin, -P41/(Coss_Q1+Coss_Q2)*0.00000002)&lt;0, 0, MIN(Vin, -P41/(Coss_Q1+Coss_Q2)*0.00000002))</f>
        <v>0</v>
      </c>
      <c r="R41" s="4">
        <f t="shared" si="41"/>
        <v>0.51018250680303312</v>
      </c>
      <c r="S41" s="348">
        <f t="shared" ref="S41:S72" si="56">R41^2*Rdcr</f>
        <v>9.1100166586739436E-4</v>
      </c>
      <c r="T41" s="348">
        <f t="shared" ref="T41:T72" si="57">Core_Loss_Ch1</f>
        <v>0.2</v>
      </c>
      <c r="U41" s="348">
        <f t="shared" ref="U41:U72" si="58">(T41+S41*(1+Ltc*(Ta-25)))/(1-S41*Ltc*ThetaCa)</f>
        <v>0.20092564515366343</v>
      </c>
      <c r="V41" s="4">
        <f t="shared" si="42"/>
        <v>0.17287622811661207</v>
      </c>
      <c r="W41" s="348">
        <f t="shared" si="10"/>
        <v>5.9772380495653793E-5</v>
      </c>
      <c r="X41" s="348">
        <f t="shared" si="43"/>
        <v>5.9772380495653793E-5</v>
      </c>
      <c r="Y41" s="4">
        <f t="shared" si="44"/>
        <v>0.25508969646065716</v>
      </c>
      <c r="Z41" s="348">
        <f t="shared" si="11"/>
        <v>6.5070753240390199E-5</v>
      </c>
      <c r="AA41" s="525">
        <f t="shared" si="45"/>
        <v>6.5070753240390199E-5</v>
      </c>
      <c r="AB41" s="348">
        <f t="shared" si="46"/>
        <v>0.36138316763950651</v>
      </c>
      <c r="AC41" s="348">
        <f t="shared" ref="AC41:AC72" si="59">Rdson1*AB41^2</f>
        <v>1.5671735262379641E-3</v>
      </c>
      <c r="AD41" s="348">
        <f t="shared" ref="AD41:AD72" si="60">(Vin*K41/2)*Fsw*(Tr_buck+Tf_buck)</f>
        <v>4.9137542094107017E-3</v>
      </c>
      <c r="AE41" s="348">
        <f t="shared" ref="AE41:AE72" si="61">(0.5*Coss_Q1*(Vin-Q41)^2-0.5*Coss_Q2*(Vin-Q41)^2+(Qoss_Q2*(Vin-Q41)/Vin)*Vin)*Fsw</f>
        <v>7.8115712399999981E-2</v>
      </c>
      <c r="AF41" s="348">
        <f t="shared" ref="AF41:AF72" si="62">IF(K41&gt;N41/2,0,ABS(K41-N41/2)*Vsd_Q1*Deadtime*Fsw)</f>
        <v>0</v>
      </c>
      <c r="AG41" s="348">
        <f t="shared" ref="AG41:AG72" si="63">(AF41+AE41+AD41+AC41*(1+RdsonTopTc*Ta-RdsonTopTc*25))/(1-AC41*RdsonTopTc*ThetaJA_Q1)</f>
        <v>8.4618919040644863E-2</v>
      </c>
      <c r="AH41" s="348">
        <f t="shared" ref="AH41:AH72" si="64">SQRT((1-M41))*SQRT(K41^2+(N41^2)/12)</f>
        <v>0.36012275184256726</v>
      </c>
      <c r="AI41" s="348">
        <f t="shared" ref="AI41:AI72" si="65">Rdson2*AH41^2</f>
        <v>5.3172242521811938E-4</v>
      </c>
      <c r="AJ41" s="348">
        <f t="shared" ref="AJ41:AJ72" si="66">IF(K41&lt;N41/2,Deadtime*Fsw*IF(VfdSky_Q2&gt;0,0,Vsd_Q2)*(K41+N41/2),2*Deadtime*Fsw*IF(VfdSky_Q2&gt;0,0,Vsd_Q2)*K41)</f>
        <v>3.8166374399999994E-3</v>
      </c>
      <c r="AK41" s="348">
        <f t="shared" ref="AK41:AK72" si="67">(AJ41+AI41*(1+RdsonBotTc*Ta-RdsonBotTc*25))/(1-AI41*RdsonBotTc*ThetaJA_Q2)</f>
        <v>4.3487363110147172E-3</v>
      </c>
      <c r="AL41" s="348">
        <f t="shared" ref="AL41:AL72" si="68">2*Deadtime*Fsw*IF(VfdSky_Q2&gt;0,VfdSky_Q2,Vsd_Q2)*K41</f>
        <v>3.8166374399999994E-3</v>
      </c>
      <c r="AM41" s="348">
        <f t="shared" ref="AM41:AM72" si="69">IF(QrrSky_Q2&gt;0,QrrSky_Q2,Qrr_Q2*K41/(Iout/Number_of_Phases))*Fsw*Vin</f>
        <v>5.0550973439999987E-2</v>
      </c>
      <c r="AN41" s="348">
        <f t="shared" ref="AN41:AN72" si="70">Rs*R41^2</f>
        <v>6.507154756195674E-3</v>
      </c>
      <c r="AO41" s="348">
        <f t="shared" ref="AO41:AO72" si="71">Iq*Vin</f>
        <v>1.452E-5</v>
      </c>
      <c r="AP41" s="348">
        <f t="shared" ref="AP41:AP72" si="72">IF(Ext_VCC=1,  (Qg_Q1+Qg_Q2)*Fsw*VCC, (Qg_Q1+Qg_Q2)*Fsw*Vin)</f>
        <v>6.6937199999999988E-2</v>
      </c>
      <c r="AQ41" s="348">
        <f t="shared" si="26"/>
        <v>4.7164980923076916E-2</v>
      </c>
      <c r="AR41" s="348">
        <f t="shared" ref="AR41:AR72" si="73">(Qg_Q1+Qg_Q2)*Fsw*(Vin-VCC)</f>
        <v>2.1419903999999993E-2</v>
      </c>
      <c r="AS41" s="348">
        <f t="shared" ref="AS41:AS74" si="74">SUM(AO41:AP41)</f>
        <v>6.6951719999999992E-2</v>
      </c>
      <c r="AT41" s="348">
        <f t="shared" ref="AT41:AT72" si="75" xml:space="preserve"> SUM(U41,X41,AA41,AG41,AK41,AL41,AM41,AS41,AN41)</f>
        <v>0.41784462927525473</v>
      </c>
      <c r="AU41">
        <f t="shared" ref="AU41:AU72" si="76">Vout*K41</f>
        <v>1.5839999999999999</v>
      </c>
      <c r="AV41" s="526">
        <f t="shared" si="47"/>
        <v>0.79127019991230252</v>
      </c>
      <c r="AW41" s="534">
        <f t="shared" ref="AW41:AW72" si="77">ThetaJA_Q1*BC41</f>
        <v>4.9552675834638844</v>
      </c>
      <c r="AX41" s="534">
        <f t="shared" ref="AX41:AX72" si="78">ThetaJA_Q2*BD41</f>
        <v>0.8559436921309389</v>
      </c>
      <c r="AY41" s="9"/>
      <c r="AZ41" s="4">
        <f t="shared" si="48"/>
        <v>79.127019991230256</v>
      </c>
      <c r="BA41" s="348">
        <f t="shared" ref="BA41:BA72" si="79">U41</f>
        <v>0.20092564515366343</v>
      </c>
      <c r="BB41" s="348">
        <f t="shared" ref="BB41:BB73" si="80">AG41+AK41+AM41</f>
        <v>0.13951862879165958</v>
      </c>
      <c r="BC41" s="348">
        <f t="shared" ref="BC41:BC73" si="81">AG41+AM41*0.66</f>
        <v>0.11798256151104486</v>
      </c>
      <c r="BD41" s="348">
        <f t="shared" ref="BD41:BD73" si="82">AK41+AM41*0.33</f>
        <v>2.1030557546214714E-2</v>
      </c>
      <c r="BE41" s="348">
        <f t="shared" ref="BE41:BE73" si="83">AN41</f>
        <v>6.507154756195674E-3</v>
      </c>
    </row>
    <row r="42" spans="1:57" x14ac:dyDescent="0.25">
      <c r="A42" s="23" t="s">
        <v>90</v>
      </c>
      <c r="B42" s="5">
        <f>Rgate1</f>
        <v>1.2</v>
      </c>
      <c r="C42" s="431" t="s">
        <v>116</v>
      </c>
      <c r="D42" s="21" t="s">
        <v>100</v>
      </c>
      <c r="G42">
        <v>33</v>
      </c>
      <c r="H42" s="531">
        <f t="shared" si="49"/>
        <v>6.6</v>
      </c>
      <c r="I42" s="4">
        <f t="shared" si="50"/>
        <v>1</v>
      </c>
      <c r="J42" s="348">
        <f t="shared" ref="J42:J73" si="84">Iout*G42/100</f>
        <v>0.495</v>
      </c>
      <c r="K42" s="348">
        <f t="shared" si="51"/>
        <v>0.495</v>
      </c>
      <c r="L42" s="4">
        <f t="shared" si="52"/>
        <v>0.27500000000000002</v>
      </c>
      <c r="M42" s="348">
        <f t="shared" si="53"/>
        <v>0.50180143965364421</v>
      </c>
      <c r="N42" s="4">
        <f t="shared" si="54"/>
        <v>0.59888360259001705</v>
      </c>
      <c r="O42" s="4">
        <f t="shared" si="39"/>
        <v>0.79444180129500852</v>
      </c>
      <c r="P42" s="4">
        <f t="shared" si="40"/>
        <v>0.19555819870499147</v>
      </c>
      <c r="Q42" s="4">
        <f t="shared" si="55"/>
        <v>0</v>
      </c>
      <c r="R42" s="4">
        <f t="shared" si="41"/>
        <v>0.5243219088698593</v>
      </c>
      <c r="S42" s="348">
        <f t="shared" si="56"/>
        <v>9.6219712442326567E-4</v>
      </c>
      <c r="T42" s="348">
        <f t="shared" si="57"/>
        <v>0.2</v>
      </c>
      <c r="U42" s="348">
        <f t="shared" si="58"/>
        <v>0.20097766753512533</v>
      </c>
      <c r="V42" s="4">
        <f t="shared" si="42"/>
        <v>0.17288280458429961</v>
      </c>
      <c r="W42" s="348">
        <f t="shared" si="10"/>
        <v>5.977692824186625E-5</v>
      </c>
      <c r="X42" s="348">
        <f t="shared" si="43"/>
        <v>5.977692824186625E-5</v>
      </c>
      <c r="Y42" s="4">
        <f t="shared" si="44"/>
        <v>0.26215925290790543</v>
      </c>
      <c r="Z42" s="348">
        <f t="shared" si="11"/>
        <v>6.8727473885231126E-5</v>
      </c>
      <c r="AA42" s="525">
        <f t="shared" si="45"/>
        <v>6.8727473885231126E-5</v>
      </c>
      <c r="AB42" s="348">
        <f t="shared" si="46"/>
        <v>0.37141886338210489</v>
      </c>
      <c r="AC42" s="348">
        <f t="shared" si="59"/>
        <v>1.6554236649126565E-3</v>
      </c>
      <c r="AD42" s="348">
        <f t="shared" si="60"/>
        <v>5.0673090284547861E-3</v>
      </c>
      <c r="AE42" s="348">
        <f t="shared" si="61"/>
        <v>7.8115712399999981E-2</v>
      </c>
      <c r="AF42" s="348">
        <f t="shared" si="62"/>
        <v>0</v>
      </c>
      <c r="AG42" s="348">
        <f t="shared" si="63"/>
        <v>8.4862046176802416E-2</v>
      </c>
      <c r="AH42" s="348">
        <f t="shared" si="64"/>
        <v>0.37008308802872686</v>
      </c>
      <c r="AI42" s="348">
        <f t="shared" si="65"/>
        <v>5.6154211738400133E-4</v>
      </c>
      <c r="AJ42" s="348">
        <f t="shared" si="66"/>
        <v>3.9359073599999992E-3</v>
      </c>
      <c r="AK42" s="348">
        <f t="shared" si="67"/>
        <v>4.4978606675634431E-3</v>
      </c>
      <c r="AL42" s="348">
        <f t="shared" si="68"/>
        <v>3.9359073599999992E-3</v>
      </c>
      <c r="AM42" s="348">
        <f>IF(QrrSky_Q2&gt;0,QrrSky_Q2,Qrr_Q2*K42/(Iout/Number_of_Phases))*Fsw*Vin</f>
        <v>5.2130691359999988E-2</v>
      </c>
      <c r="AN42" s="348">
        <f t="shared" si="70"/>
        <v>6.8728366030233259E-3</v>
      </c>
      <c r="AO42" s="348">
        <f t="shared" si="71"/>
        <v>1.452E-5</v>
      </c>
      <c r="AP42" s="348">
        <f t="shared" si="72"/>
        <v>6.6937199999999988E-2</v>
      </c>
      <c r="AQ42" s="348">
        <f t="shared" si="26"/>
        <v>4.7164980923076916E-2</v>
      </c>
      <c r="AR42" s="348">
        <f t="shared" si="73"/>
        <v>2.1419903999999993E-2</v>
      </c>
      <c r="AS42" s="348">
        <f t="shared" si="74"/>
        <v>6.6951719999999992E-2</v>
      </c>
      <c r="AT42" s="348">
        <f t="shared" si="75"/>
        <v>0.4203572341046416</v>
      </c>
      <c r="AU42">
        <f t="shared" si="76"/>
        <v>1.6335</v>
      </c>
      <c r="AV42" s="526">
        <f t="shared" si="47"/>
        <v>0.79533278792481787</v>
      </c>
      <c r="AW42" s="534">
        <f t="shared" si="77"/>
        <v>5.0092687039249011</v>
      </c>
      <c r="AX42" s="534">
        <f t="shared" si="78"/>
        <v>0.88323024482599211</v>
      </c>
      <c r="AY42" s="9"/>
      <c r="AZ42" s="4">
        <f t="shared" si="48"/>
        <v>79.533278792481781</v>
      </c>
      <c r="BA42" s="348">
        <f t="shared" si="79"/>
        <v>0.20097766753512533</v>
      </c>
      <c r="BB42" s="348">
        <f t="shared" si="80"/>
        <v>0.14149059820436585</v>
      </c>
      <c r="BC42" s="348">
        <f t="shared" si="81"/>
        <v>0.11926830247440241</v>
      </c>
      <c r="BD42" s="348">
        <f t="shared" si="82"/>
        <v>2.170098881636344E-2</v>
      </c>
      <c r="BE42" s="348">
        <f t="shared" si="83"/>
        <v>6.8728366030233259E-3</v>
      </c>
    </row>
    <row r="43" spans="1:57" x14ac:dyDescent="0.25">
      <c r="A43" s="23" t="s">
        <v>69</v>
      </c>
      <c r="B43" s="5">
        <f>Gfs_Q1</f>
        <v>55</v>
      </c>
      <c r="C43" s="427" t="s">
        <v>66</v>
      </c>
      <c r="D43" s="21" t="s">
        <v>101</v>
      </c>
      <c r="G43">
        <v>34</v>
      </c>
      <c r="H43" s="531">
        <f t="shared" si="49"/>
        <v>6.6</v>
      </c>
      <c r="I43" s="4">
        <f t="shared" si="50"/>
        <v>1</v>
      </c>
      <c r="J43" s="348">
        <f t="shared" si="84"/>
        <v>0.51</v>
      </c>
      <c r="K43" s="348">
        <f t="shared" si="51"/>
        <v>0.51</v>
      </c>
      <c r="L43" s="4">
        <f t="shared" si="52"/>
        <v>0.28333333333333333</v>
      </c>
      <c r="M43" s="348">
        <f t="shared" si="53"/>
        <v>0.50185595669721872</v>
      </c>
      <c r="N43" s="4">
        <f t="shared" si="54"/>
        <v>0.59890636990149071</v>
      </c>
      <c r="O43" s="4">
        <f t="shared" si="39"/>
        <v>0.80945318495074536</v>
      </c>
      <c r="P43" s="4">
        <f t="shared" si="40"/>
        <v>0.21054681504925465</v>
      </c>
      <c r="Q43" s="4">
        <f t="shared" si="55"/>
        <v>0</v>
      </c>
      <c r="R43" s="4">
        <f t="shared" si="41"/>
        <v>0.53850787984861326</v>
      </c>
      <c r="S43" s="348">
        <f t="shared" si="56"/>
        <v>1.0149675783066698E-3</v>
      </c>
      <c r="T43" s="348">
        <f t="shared" si="57"/>
        <v>0.2</v>
      </c>
      <c r="U43" s="348">
        <f t="shared" si="58"/>
        <v>0.20103129079769747</v>
      </c>
      <c r="V43" s="4">
        <f t="shared" si="42"/>
        <v>0.17288937694100362</v>
      </c>
      <c r="W43" s="348">
        <f t="shared" si="10"/>
        <v>5.978147331809687E-5</v>
      </c>
      <c r="X43" s="348">
        <f t="shared" si="43"/>
        <v>5.978147331809687E-5</v>
      </c>
      <c r="Y43" s="4">
        <f t="shared" si="44"/>
        <v>0.26925208498699582</v>
      </c>
      <c r="Z43" s="348">
        <f t="shared" si="11"/>
        <v>7.2496685269844415E-5</v>
      </c>
      <c r="AA43" s="525">
        <f t="shared" si="45"/>
        <v>7.2496685269844415E-5</v>
      </c>
      <c r="AB43" s="348">
        <f t="shared" si="46"/>
        <v>0.38148863492816926</v>
      </c>
      <c r="AC43" s="348">
        <f t="shared" si="59"/>
        <v>1.7464029429522961E-3</v>
      </c>
      <c r="AD43" s="348">
        <f t="shared" si="60"/>
        <v>5.2208638474988706E-3</v>
      </c>
      <c r="AE43" s="348">
        <f t="shared" si="61"/>
        <v>7.8115712399999981E-2</v>
      </c>
      <c r="AF43" s="348">
        <f t="shared" si="62"/>
        <v>0</v>
      </c>
      <c r="AG43" s="348">
        <f t="shared" si="63"/>
        <v>8.5107949496393956E-2</v>
      </c>
      <c r="AH43" s="348">
        <f t="shared" si="64"/>
        <v>0.38007520055864014</v>
      </c>
      <c r="AI43" s="348">
        <f t="shared" si="65"/>
        <v>5.9227434812673117E-4</v>
      </c>
      <c r="AJ43" s="348">
        <f t="shared" si="66"/>
        <v>4.0551772799999998E-3</v>
      </c>
      <c r="AK43" s="348">
        <f t="shared" si="67"/>
        <v>4.6478997891466643E-3</v>
      </c>
      <c r="AL43" s="348">
        <f t="shared" si="68"/>
        <v>4.0551772799999998E-3</v>
      </c>
      <c r="AM43" s="348">
        <f t="shared" si="69"/>
        <v>5.3710409279999996E-2</v>
      </c>
      <c r="AN43" s="348">
        <f t="shared" si="70"/>
        <v>7.2497684164762131E-3</v>
      </c>
      <c r="AO43" s="348">
        <f t="shared" si="71"/>
        <v>1.452E-5</v>
      </c>
      <c r="AP43" s="348">
        <f t="shared" si="72"/>
        <v>6.6937199999999988E-2</v>
      </c>
      <c r="AQ43" s="348">
        <f t="shared" si="26"/>
        <v>4.7164980923076916E-2</v>
      </c>
      <c r="AR43" s="348">
        <f t="shared" si="73"/>
        <v>2.1419903999999993E-2</v>
      </c>
      <c r="AS43" s="348">
        <f t="shared" si="74"/>
        <v>6.6951719999999992E-2</v>
      </c>
      <c r="AT43" s="348">
        <f t="shared" si="75"/>
        <v>0.42288649321830218</v>
      </c>
      <c r="AU43">
        <f t="shared" si="76"/>
        <v>1.6829999999999998</v>
      </c>
      <c r="AV43" s="526">
        <f t="shared" si="47"/>
        <v>0.79918837288707345</v>
      </c>
      <c r="AW43" s="534">
        <f t="shared" si="77"/>
        <v>5.0633864240901456</v>
      </c>
      <c r="AX43" s="534">
        <f t="shared" si="78"/>
        <v>0.9105540284579493</v>
      </c>
      <c r="AY43" s="9"/>
      <c r="AZ43" s="4">
        <f t="shared" si="48"/>
        <v>79.918837288707351</v>
      </c>
      <c r="BA43" s="348">
        <f t="shared" si="79"/>
        <v>0.20103129079769747</v>
      </c>
      <c r="BB43" s="348">
        <f t="shared" si="80"/>
        <v>0.14346625856554063</v>
      </c>
      <c r="BC43" s="348">
        <f t="shared" si="81"/>
        <v>0.12055681962119395</v>
      </c>
      <c r="BD43" s="348">
        <f t="shared" si="82"/>
        <v>2.2372334851546664E-2</v>
      </c>
      <c r="BE43" s="348">
        <f t="shared" si="83"/>
        <v>7.2497684164762131E-3</v>
      </c>
    </row>
    <row r="44" spans="1:57" x14ac:dyDescent="0.25">
      <c r="A44" s="23" t="s">
        <v>92</v>
      </c>
      <c r="B44" s="5">
        <f>Vth_Q1</f>
        <v>3.1</v>
      </c>
      <c r="C44" s="427" t="s">
        <v>0</v>
      </c>
      <c r="D44" s="21" t="s">
        <v>102</v>
      </c>
      <c r="G44">
        <v>35</v>
      </c>
      <c r="H44" s="531">
        <f t="shared" si="49"/>
        <v>6.6</v>
      </c>
      <c r="I44" s="4">
        <f t="shared" si="50"/>
        <v>1</v>
      </c>
      <c r="J44" s="348">
        <f t="shared" si="84"/>
        <v>0.52500000000000002</v>
      </c>
      <c r="K44" s="348">
        <f t="shared" si="51"/>
        <v>0.52500000000000002</v>
      </c>
      <c r="L44" s="4">
        <f t="shared" si="52"/>
        <v>0.29166666666666669</v>
      </c>
      <c r="M44" s="348">
        <f t="shared" si="53"/>
        <v>0.50191046950908813</v>
      </c>
      <c r="N44" s="4">
        <f t="shared" si="54"/>
        <v>0.598929122973758</v>
      </c>
      <c r="O44" s="4">
        <f t="shared" si="39"/>
        <v>0.82446456148687908</v>
      </c>
      <c r="P44" s="4">
        <f t="shared" si="40"/>
        <v>0.22553543851312102</v>
      </c>
      <c r="Q44" s="4">
        <f t="shared" si="55"/>
        <v>0</v>
      </c>
      <c r="R44" s="4">
        <f t="shared" si="41"/>
        <v>0.5527368341825758</v>
      </c>
      <c r="S44" s="348">
        <f t="shared" si="56"/>
        <v>1.0693130275176172E-3</v>
      </c>
      <c r="T44" s="348">
        <f t="shared" si="57"/>
        <v>0.2</v>
      </c>
      <c r="U44" s="348">
        <f t="shared" si="58"/>
        <v>0.20108651498192789</v>
      </c>
      <c r="V44" s="4">
        <f t="shared" si="42"/>
        <v>0.17289594518720283</v>
      </c>
      <c r="W44" s="348">
        <f t="shared" si="10"/>
        <v>5.9786015724352491E-5</v>
      </c>
      <c r="X44" s="348">
        <f t="shared" si="43"/>
        <v>5.9786015724352491E-5</v>
      </c>
      <c r="Y44" s="4">
        <f t="shared" si="44"/>
        <v>0.27636639965321064</v>
      </c>
      <c r="Z44" s="348">
        <f t="shared" si="11"/>
        <v>7.6378386857278152E-5</v>
      </c>
      <c r="AA44" s="525">
        <f t="shared" si="45"/>
        <v>7.6378386857278152E-5</v>
      </c>
      <c r="AB44" s="348">
        <f t="shared" si="46"/>
        <v>0.39158994722743612</v>
      </c>
      <c r="AC44" s="348">
        <f t="shared" si="59"/>
        <v>1.8401122412350344E-3</v>
      </c>
      <c r="AD44" s="348">
        <f t="shared" si="60"/>
        <v>5.3744186665429551E-3</v>
      </c>
      <c r="AE44" s="348">
        <f t="shared" si="61"/>
        <v>7.8115712399999981E-2</v>
      </c>
      <c r="AF44" s="348">
        <f t="shared" si="62"/>
        <v>0</v>
      </c>
      <c r="AG44" s="348">
        <f t="shared" si="63"/>
        <v>8.5356630358884161E-2</v>
      </c>
      <c r="AH44" s="348">
        <f t="shared" si="64"/>
        <v>0.39009655355128442</v>
      </c>
      <c r="AI44" s="348">
        <f t="shared" si="65"/>
        <v>6.2391881647961937E-4</v>
      </c>
      <c r="AJ44" s="348">
        <f t="shared" si="66"/>
        <v>4.1744471999999996E-3</v>
      </c>
      <c r="AK44" s="348">
        <f t="shared" si="67"/>
        <v>4.7988534551404406E-3</v>
      </c>
      <c r="AL44" s="348">
        <f t="shared" si="68"/>
        <v>4.1744471999999996E-3</v>
      </c>
      <c r="AM44" s="348">
        <f t="shared" si="69"/>
        <v>5.5290127199999997E-2</v>
      </c>
      <c r="AN44" s="348">
        <f t="shared" si="70"/>
        <v>7.6379501965544083E-3</v>
      </c>
      <c r="AO44" s="348">
        <f t="shared" si="71"/>
        <v>1.452E-5</v>
      </c>
      <c r="AP44" s="348">
        <f t="shared" si="72"/>
        <v>6.6937199999999988E-2</v>
      </c>
      <c r="AQ44" s="348">
        <f t="shared" si="26"/>
        <v>4.7164980923076916E-2</v>
      </c>
      <c r="AR44" s="348">
        <f t="shared" si="73"/>
        <v>2.1419903999999993E-2</v>
      </c>
      <c r="AS44" s="348">
        <f t="shared" si="74"/>
        <v>6.6951719999999992E-2</v>
      </c>
      <c r="AT44" s="348">
        <f t="shared" si="75"/>
        <v>0.42543240779508845</v>
      </c>
      <c r="AU44">
        <f t="shared" si="76"/>
        <v>1.7324999999999999</v>
      </c>
      <c r="AV44" s="526">
        <f t="shared" si="47"/>
        <v>0.80285183805651128</v>
      </c>
      <c r="AW44" s="534">
        <f t="shared" si="77"/>
        <v>5.1176208010571349</v>
      </c>
      <c r="AX44" s="534">
        <f t="shared" si="78"/>
        <v>0.93791503404741594</v>
      </c>
      <c r="AY44" s="9"/>
      <c r="AZ44" s="4">
        <f t="shared" si="48"/>
        <v>80.28518380565113</v>
      </c>
      <c r="BA44" s="348">
        <f t="shared" si="79"/>
        <v>0.20108651498192789</v>
      </c>
      <c r="BB44" s="348">
        <f t="shared" si="80"/>
        <v>0.14544561101402459</v>
      </c>
      <c r="BC44" s="348">
        <f t="shared" si="81"/>
        <v>0.12184811431088416</v>
      </c>
      <c r="BD44" s="348">
        <f t="shared" si="82"/>
        <v>2.304459543114044E-2</v>
      </c>
      <c r="BE44" s="348">
        <f t="shared" si="83"/>
        <v>7.6379501965544083E-3</v>
      </c>
    </row>
    <row r="45" spans="1:57" x14ac:dyDescent="0.25">
      <c r="A45" s="28" t="s">
        <v>123</v>
      </c>
      <c r="B45" s="434">
        <f>Vsp_Q1</f>
        <v>3.1272727272727274</v>
      </c>
      <c r="C45" s="432" t="s">
        <v>0</v>
      </c>
      <c r="G45">
        <v>36</v>
      </c>
      <c r="H45" s="531">
        <f t="shared" si="49"/>
        <v>6.6</v>
      </c>
      <c r="I45" s="4">
        <f t="shared" si="50"/>
        <v>1</v>
      </c>
      <c r="J45" s="348">
        <f t="shared" si="84"/>
        <v>0.54</v>
      </c>
      <c r="K45" s="348">
        <f t="shared" si="51"/>
        <v>0.54</v>
      </c>
      <c r="L45" s="4">
        <f t="shared" si="52"/>
        <v>0.30000000000000004</v>
      </c>
      <c r="M45" s="348">
        <f t="shared" si="53"/>
        <v>0.50196497808974527</v>
      </c>
      <c r="N45" s="4">
        <f t="shared" si="54"/>
        <v>0.59895186180847693</v>
      </c>
      <c r="O45" s="4">
        <f t="shared" si="39"/>
        <v>0.83947593090423855</v>
      </c>
      <c r="P45" s="4">
        <f t="shared" si="40"/>
        <v>0.24052406909576157</v>
      </c>
      <c r="Q45" s="4">
        <f t="shared" si="55"/>
        <v>0</v>
      </c>
      <c r="R45" s="4">
        <f t="shared" si="41"/>
        <v>0.56700553589036506</v>
      </c>
      <c r="S45" s="348">
        <f t="shared" si="56"/>
        <v>1.1252334720561201E-3</v>
      </c>
      <c r="T45" s="348">
        <f t="shared" si="57"/>
        <v>0.2</v>
      </c>
      <c r="U45" s="348">
        <f t="shared" si="58"/>
        <v>0.20114334012957572</v>
      </c>
      <c r="V45" s="4">
        <f t="shared" si="42"/>
        <v>0.17290250932337586</v>
      </c>
      <c r="W45" s="348">
        <f t="shared" si="10"/>
        <v>5.9790555460640152E-5</v>
      </c>
      <c r="X45" s="348">
        <f t="shared" si="43"/>
        <v>5.9790555460640152E-5</v>
      </c>
      <c r="Y45" s="4">
        <f t="shared" si="44"/>
        <v>0.28350057864960204</v>
      </c>
      <c r="Z45" s="348">
        <f t="shared" si="11"/>
        <v>8.0372578094659201E-5</v>
      </c>
      <c r="AA45" s="525">
        <f t="shared" si="45"/>
        <v>8.0372578094659201E-5</v>
      </c>
      <c r="AB45" s="348">
        <f t="shared" si="46"/>
        <v>0.40172051234889244</v>
      </c>
      <c r="AC45" s="348">
        <f t="shared" si="59"/>
        <v>1.9365524405022799E-3</v>
      </c>
      <c r="AD45" s="348">
        <f t="shared" si="60"/>
        <v>5.5279734855870396E-3</v>
      </c>
      <c r="AE45" s="348">
        <f t="shared" si="61"/>
        <v>7.8115712399999981E-2</v>
      </c>
      <c r="AF45" s="348">
        <f t="shared" si="62"/>
        <v>0</v>
      </c>
      <c r="AG45" s="348">
        <f t="shared" si="63"/>
        <v>8.5608090131475592E-2</v>
      </c>
      <c r="AH45" s="348">
        <f t="shared" si="64"/>
        <v>0.40014485838064118</v>
      </c>
      <c r="AI45" s="348">
        <f t="shared" si="65"/>
        <v>6.5647522152269971E-4</v>
      </c>
      <c r="AJ45" s="348">
        <f t="shared" si="66"/>
        <v>4.2937171199999994E-3</v>
      </c>
      <c r="AK45" s="348">
        <f t="shared" si="67"/>
        <v>4.9507214457486281E-3</v>
      </c>
      <c r="AL45" s="348">
        <f t="shared" si="68"/>
        <v>4.2937171199999994E-3</v>
      </c>
      <c r="AM45" s="348">
        <f t="shared" si="69"/>
        <v>5.6869845119999991E-2</v>
      </c>
      <c r="AN45" s="348">
        <f t="shared" si="70"/>
        <v>8.0373819432580009E-3</v>
      </c>
      <c r="AO45" s="348">
        <f t="shared" si="71"/>
        <v>1.452E-5</v>
      </c>
      <c r="AP45" s="348">
        <f t="shared" si="72"/>
        <v>6.6937199999999988E-2</v>
      </c>
      <c r="AQ45" s="348">
        <f t="shared" si="26"/>
        <v>4.7164980923076916E-2</v>
      </c>
      <c r="AR45" s="348">
        <f t="shared" si="73"/>
        <v>2.1419903999999993E-2</v>
      </c>
      <c r="AS45" s="348">
        <f t="shared" si="74"/>
        <v>6.6951719999999992E-2</v>
      </c>
      <c r="AT45" s="348">
        <f t="shared" si="75"/>
        <v>0.42799497902361322</v>
      </c>
      <c r="AU45">
        <f t="shared" si="76"/>
        <v>1.782</v>
      </c>
      <c r="AV45" s="526">
        <f t="shared" si="47"/>
        <v>0.80633667357348315</v>
      </c>
      <c r="AW45" s="534">
        <f t="shared" si="77"/>
        <v>5.1719718922483748</v>
      </c>
      <c r="AX45" s="534">
        <f t="shared" si="78"/>
        <v>0.96531325264868917</v>
      </c>
      <c r="AY45" s="9"/>
      <c r="AZ45" s="4">
        <f t="shared" si="48"/>
        <v>80.633667357348315</v>
      </c>
      <c r="BA45" s="348">
        <f t="shared" si="79"/>
        <v>0.20114334012957572</v>
      </c>
      <c r="BB45" s="348">
        <f t="shared" si="80"/>
        <v>0.14742865669722421</v>
      </c>
      <c r="BC45" s="348">
        <f t="shared" si="81"/>
        <v>0.12314218791067559</v>
      </c>
      <c r="BD45" s="348">
        <f t="shared" si="82"/>
        <v>2.3717770335348626E-2</v>
      </c>
      <c r="BE45" s="348">
        <f t="shared" si="83"/>
        <v>8.0373819432580009E-3</v>
      </c>
    </row>
    <row r="46" spans="1:57" x14ac:dyDescent="0.25">
      <c r="A46" s="77" t="s">
        <v>200</v>
      </c>
      <c r="B46" s="5">
        <f>Vsd_Q1</f>
        <v>0.7</v>
      </c>
      <c r="C46" s="432" t="s">
        <v>0</v>
      </c>
      <c r="G46">
        <v>37</v>
      </c>
      <c r="H46" s="531">
        <f t="shared" si="49"/>
        <v>6.6</v>
      </c>
      <c r="I46" s="4">
        <f t="shared" si="50"/>
        <v>1</v>
      </c>
      <c r="J46" s="348">
        <f t="shared" si="84"/>
        <v>0.55500000000000005</v>
      </c>
      <c r="K46" s="348">
        <f t="shared" si="51"/>
        <v>0.55500000000000005</v>
      </c>
      <c r="L46" s="4">
        <f t="shared" si="52"/>
        <v>0.3083333333333334</v>
      </c>
      <c r="M46" s="348">
        <f t="shared" si="53"/>
        <v>0.50201948243968275</v>
      </c>
      <c r="N46" s="4">
        <f t="shared" si="54"/>
        <v>0.59897458640730494</v>
      </c>
      <c r="O46" s="4">
        <f t="shared" si="39"/>
        <v>0.85448729320365246</v>
      </c>
      <c r="P46" s="4">
        <f t="shared" si="40"/>
        <v>0.25551270679634758</v>
      </c>
      <c r="Q46" s="4">
        <f t="shared" si="55"/>
        <v>0</v>
      </c>
      <c r="R46" s="4">
        <f t="shared" si="41"/>
        <v>0.58131105809496142</v>
      </c>
      <c r="S46" s="348">
        <f t="shared" si="56"/>
        <v>1.1827289119221926E-3</v>
      </c>
      <c r="T46" s="348">
        <f t="shared" si="57"/>
        <v>0.2</v>
      </c>
      <c r="U46" s="348">
        <f t="shared" si="58"/>
        <v>0.20120176628361128</v>
      </c>
      <c r="V46" s="4">
        <f t="shared" si="42"/>
        <v>0.17290906935000114</v>
      </c>
      <c r="W46" s="348">
        <f t="shared" si="10"/>
        <v>5.9795092526967004E-5</v>
      </c>
      <c r="X46" s="348">
        <f t="shared" si="43"/>
        <v>5.9795092526967004E-5</v>
      </c>
      <c r="Y46" s="4">
        <f t="shared" si="44"/>
        <v>0.2906531582715034</v>
      </c>
      <c r="Z46" s="348">
        <f t="shared" si="11"/>
        <v>8.44792584131996E-5</v>
      </c>
      <c r="AA46" s="525">
        <f t="shared" si="45"/>
        <v>8.44792584131996E-5</v>
      </c>
      <c r="AB46" s="348">
        <f t="shared" si="46"/>
        <v>0.41187826087315388</v>
      </c>
      <c r="AC46" s="348">
        <f t="shared" si="59"/>
        <v>2.0357244213587257E-3</v>
      </c>
      <c r="AD46" s="348">
        <f t="shared" si="60"/>
        <v>5.6815283046311241E-3</v>
      </c>
      <c r="AE46" s="348">
        <f t="shared" si="61"/>
        <v>7.8115712399999981E-2</v>
      </c>
      <c r="AF46" s="348">
        <f t="shared" si="62"/>
        <v>0</v>
      </c>
      <c r="AG46" s="348">
        <f t="shared" si="63"/>
        <v>8.5862330189119873E-2</v>
      </c>
      <c r="AH46" s="348">
        <f t="shared" si="64"/>
        <v>0.41021804504871529</v>
      </c>
      <c r="AI46" s="348">
        <f t="shared" si="65"/>
        <v>6.8994326238271803E-4</v>
      </c>
      <c r="AJ46" s="348">
        <f t="shared" si="66"/>
        <v>4.41298704E-3</v>
      </c>
      <c r="AK46" s="348">
        <f t="shared" si="67"/>
        <v>5.1035035420021278E-3</v>
      </c>
      <c r="AL46" s="348">
        <f t="shared" si="68"/>
        <v>4.41298704E-3</v>
      </c>
      <c r="AM46" s="348">
        <f t="shared" si="69"/>
        <v>5.8449563039999999E-2</v>
      </c>
      <c r="AN46" s="348">
        <f t="shared" si="70"/>
        <v>8.4480636565870907E-3</v>
      </c>
      <c r="AO46" s="348">
        <f t="shared" si="71"/>
        <v>1.452E-5</v>
      </c>
      <c r="AP46" s="348">
        <f t="shared" si="72"/>
        <v>6.6937199999999988E-2</v>
      </c>
      <c r="AQ46" s="348">
        <f t="shared" si="26"/>
        <v>4.7164980923076916E-2</v>
      </c>
      <c r="AR46" s="348">
        <f t="shared" si="73"/>
        <v>2.1419903999999993E-2</v>
      </c>
      <c r="AS46" s="348">
        <f t="shared" si="74"/>
        <v>6.6951719999999992E-2</v>
      </c>
      <c r="AT46" s="348">
        <f t="shared" si="75"/>
        <v>0.43057420810226049</v>
      </c>
      <c r="AU46">
        <f t="shared" si="76"/>
        <v>1.8315000000000001</v>
      </c>
      <c r="AV46" s="526">
        <f t="shared" si="47"/>
        <v>0.809655135733374</v>
      </c>
      <c r="AW46" s="534">
        <f t="shared" si="77"/>
        <v>5.2264397554118345</v>
      </c>
      <c r="AX46" s="534">
        <f t="shared" si="78"/>
        <v>0.99274867534972655</v>
      </c>
      <c r="AY46" s="9"/>
      <c r="AZ46" s="4">
        <f t="shared" si="48"/>
        <v>80.965513573337404</v>
      </c>
      <c r="BA46" s="348">
        <f t="shared" si="79"/>
        <v>0.20120176628361128</v>
      </c>
      <c r="BB46" s="348">
        <f t="shared" si="80"/>
        <v>0.14941539677112201</v>
      </c>
      <c r="BC46" s="348">
        <f t="shared" si="81"/>
        <v>0.12443904179551987</v>
      </c>
      <c r="BD46" s="348">
        <f t="shared" si="82"/>
        <v>2.4391859345202126E-2</v>
      </c>
      <c r="BE46" s="348">
        <f t="shared" si="83"/>
        <v>8.4480636565870907E-3</v>
      </c>
    </row>
    <row r="47" spans="1:57" ht="15.5" x14ac:dyDescent="0.4">
      <c r="A47" s="433" t="s">
        <v>456</v>
      </c>
      <c r="B47" s="5">
        <f>ThetaJA_Q1</f>
        <v>42</v>
      </c>
      <c r="C47" s="428" t="s">
        <v>202</v>
      </c>
      <c r="D47" s="21" t="s">
        <v>103</v>
      </c>
      <c r="G47">
        <v>38</v>
      </c>
      <c r="H47" s="531">
        <f t="shared" si="49"/>
        <v>6.6</v>
      </c>
      <c r="I47" s="4">
        <f t="shared" si="50"/>
        <v>1</v>
      </c>
      <c r="J47" s="348">
        <f t="shared" si="84"/>
        <v>0.56999999999999995</v>
      </c>
      <c r="K47" s="348">
        <f t="shared" si="51"/>
        <v>0.56999999999999995</v>
      </c>
      <c r="L47" s="4">
        <f t="shared" si="52"/>
        <v>0.31666666666666665</v>
      </c>
      <c r="M47" s="348">
        <f t="shared" si="53"/>
        <v>0.50207398255939295</v>
      </c>
      <c r="N47" s="4">
        <f t="shared" si="54"/>
        <v>0.59899729677189939</v>
      </c>
      <c r="O47" s="4">
        <f t="shared" si="39"/>
        <v>0.8694986483859497</v>
      </c>
      <c r="P47" s="4">
        <f t="shared" si="40"/>
        <v>0.27050135161405026</v>
      </c>
      <c r="Q47" s="4">
        <f t="shared" si="55"/>
        <v>0</v>
      </c>
      <c r="R47" s="4">
        <f t="shared" si="41"/>
        <v>0.59565074788979344</v>
      </c>
      <c r="S47" s="348">
        <f t="shared" si="56"/>
        <v>1.2417993471158461E-3</v>
      </c>
      <c r="T47" s="348">
        <f t="shared" si="57"/>
        <v>0.2</v>
      </c>
      <c r="U47" s="348">
        <f t="shared" si="58"/>
        <v>0.2012617934882161</v>
      </c>
      <c r="V47" s="4">
        <f t="shared" si="42"/>
        <v>0.17291562526755713</v>
      </c>
      <c r="W47" s="348">
        <f t="shared" si="10"/>
        <v>5.9799626923340486E-5</v>
      </c>
      <c r="X47" s="348">
        <f t="shared" si="43"/>
        <v>5.9799626923340486E-5</v>
      </c>
      <c r="Y47" s="4">
        <f t="shared" si="44"/>
        <v>0.29782281179957076</v>
      </c>
      <c r="Z47" s="348">
        <f t="shared" si="11"/>
        <v>8.8698427228202546E-5</v>
      </c>
      <c r="AA47" s="525">
        <f t="shared" si="45"/>
        <v>8.8698427228202546E-5</v>
      </c>
      <c r="AB47" s="348">
        <f t="shared" si="46"/>
        <v>0.4220613170571671</v>
      </c>
      <c r="AC47" s="348">
        <f t="shared" si="59"/>
        <v>2.1376290642723663E-3</v>
      </c>
      <c r="AD47" s="348">
        <f t="shared" si="60"/>
        <v>5.8350831236752086E-3</v>
      </c>
      <c r="AE47" s="348">
        <f t="shared" si="61"/>
        <v>7.8115712399999981E-2</v>
      </c>
      <c r="AF47" s="348">
        <f t="shared" si="62"/>
        <v>0</v>
      </c>
      <c r="AG47" s="348">
        <f t="shared" si="63"/>
        <v>8.6119351914528561E-2</v>
      </c>
      <c r="AH47" s="348">
        <f t="shared" si="64"/>
        <v>0.42031423733397344</v>
      </c>
      <c r="AI47" s="348">
        <f t="shared" si="65"/>
        <v>7.2432263823312294E-4</v>
      </c>
      <c r="AJ47" s="348">
        <f t="shared" si="66"/>
        <v>4.5322569599999989E-3</v>
      </c>
      <c r="AK47" s="348">
        <f t="shared" si="67"/>
        <v>5.2571995257581208E-3</v>
      </c>
      <c r="AL47" s="348">
        <f t="shared" si="68"/>
        <v>4.5322569599999989E-3</v>
      </c>
      <c r="AM47" s="348">
        <f t="shared" si="69"/>
        <v>6.0029280959999987E-2</v>
      </c>
      <c r="AN47" s="348">
        <f t="shared" si="70"/>
        <v>8.8699953365417566E-3</v>
      </c>
      <c r="AO47" s="348">
        <f t="shared" si="71"/>
        <v>1.452E-5</v>
      </c>
      <c r="AP47" s="348">
        <f t="shared" si="72"/>
        <v>6.6937199999999988E-2</v>
      </c>
      <c r="AQ47" s="348">
        <f t="shared" si="26"/>
        <v>4.7164980923076916E-2</v>
      </c>
      <c r="AR47" s="348">
        <f t="shared" si="73"/>
        <v>2.1419903999999993E-2</v>
      </c>
      <c r="AS47" s="348">
        <f t="shared" si="74"/>
        <v>6.6951719999999992E-2</v>
      </c>
      <c r="AT47" s="348">
        <f t="shared" si="75"/>
        <v>0.433170096239196</v>
      </c>
      <c r="AU47">
        <f t="shared" si="76"/>
        <v>1.8809999999999998</v>
      </c>
      <c r="AV47" s="526">
        <f t="shared" si="47"/>
        <v>0.81281838489610181</v>
      </c>
      <c r="AW47" s="534">
        <f t="shared" si="77"/>
        <v>5.2810244486213991</v>
      </c>
      <c r="AX47" s="534">
        <f t="shared" si="78"/>
        <v>1.0202212932721155</v>
      </c>
      <c r="AY47" s="9"/>
      <c r="AZ47" s="4">
        <f t="shared" si="48"/>
        <v>81.28183848961018</v>
      </c>
      <c r="BA47" s="348">
        <f t="shared" si="79"/>
        <v>0.2012617934882161</v>
      </c>
      <c r="BB47" s="348">
        <f t="shared" si="80"/>
        <v>0.15140583240028666</v>
      </c>
      <c r="BC47" s="348">
        <f t="shared" si="81"/>
        <v>0.12573867734812855</v>
      </c>
      <c r="BD47" s="348">
        <f t="shared" si="82"/>
        <v>2.5066862242558118E-2</v>
      </c>
      <c r="BE47" s="348">
        <f t="shared" si="83"/>
        <v>8.8699953365417566E-3</v>
      </c>
    </row>
    <row r="48" spans="1:57" ht="13" x14ac:dyDescent="0.3">
      <c r="A48" s="24" t="s">
        <v>509</v>
      </c>
      <c r="B48" s="15" t="s">
        <v>111</v>
      </c>
      <c r="C48" s="24" t="s">
        <v>76</v>
      </c>
      <c r="D48" s="17" t="s">
        <v>107</v>
      </c>
      <c r="G48">
        <v>39</v>
      </c>
      <c r="H48" s="531">
        <f t="shared" si="49"/>
        <v>6.6</v>
      </c>
      <c r="I48" s="4">
        <f t="shared" si="50"/>
        <v>1</v>
      </c>
      <c r="J48" s="348">
        <f t="shared" si="84"/>
        <v>0.58499999999999996</v>
      </c>
      <c r="K48" s="348">
        <f t="shared" si="51"/>
        <v>0.58499999999999996</v>
      </c>
      <c r="L48" s="4">
        <f t="shared" si="52"/>
        <v>0.32500000000000001</v>
      </c>
      <c r="M48" s="348">
        <f t="shared" si="53"/>
        <v>0.50212847844936848</v>
      </c>
      <c r="N48" s="4">
        <f t="shared" si="54"/>
        <v>0.5990199929039175</v>
      </c>
      <c r="O48" s="4">
        <f t="shared" si="39"/>
        <v>0.88450999645195871</v>
      </c>
      <c r="P48" s="4">
        <f t="shared" si="40"/>
        <v>0.28549000354804122</v>
      </c>
      <c r="Q48" s="4">
        <f t="shared" si="55"/>
        <v>0</v>
      </c>
      <c r="R48" s="4">
        <f t="shared" si="41"/>
        <v>0.61002219576412464</v>
      </c>
      <c r="S48" s="348">
        <f t="shared" si="56"/>
        <v>1.3024447776370939E-3</v>
      </c>
      <c r="T48" s="348">
        <f t="shared" si="57"/>
        <v>0.2</v>
      </c>
      <c r="U48" s="348">
        <f t="shared" si="58"/>
        <v>0.2013234217887831</v>
      </c>
      <c r="V48" s="4">
        <f t="shared" si="42"/>
        <v>0.17292217707652224</v>
      </c>
      <c r="W48" s="348">
        <f t="shared" si="10"/>
        <v>5.9804158649768228E-5</v>
      </c>
      <c r="X48" s="348">
        <f t="shared" si="43"/>
        <v>5.9804158649768228E-5</v>
      </c>
      <c r="Y48" s="4">
        <f t="shared" si="44"/>
        <v>0.30500833421247481</v>
      </c>
      <c r="Z48" s="348">
        <f t="shared" si="11"/>
        <v>9.3030083939068731E-5</v>
      </c>
      <c r="AA48" s="525">
        <f t="shared" si="45"/>
        <v>9.3030083939068731E-5</v>
      </c>
      <c r="AB48" s="348">
        <f t="shared" si="46"/>
        <v>0.43226797722155114</v>
      </c>
      <c r="AC48" s="348">
        <f t="shared" si="59"/>
        <v>2.2422672495745373E-3</v>
      </c>
      <c r="AD48" s="348">
        <f t="shared" si="60"/>
        <v>5.988637942719293E-3</v>
      </c>
      <c r="AE48" s="348">
        <f t="shared" si="61"/>
        <v>7.8115712399999981E-2</v>
      </c>
      <c r="AF48" s="348">
        <f t="shared" si="62"/>
        <v>0</v>
      </c>
      <c r="AG48" s="348">
        <f t="shared" si="63"/>
        <v>8.6379156698184328E-2</v>
      </c>
      <c r="AH48" s="348">
        <f t="shared" si="64"/>
        <v>0.43043173116496947</v>
      </c>
      <c r="AI48" s="348">
        <f t="shared" si="65"/>
        <v>7.5961304829405736E-4</v>
      </c>
      <c r="AJ48" s="348">
        <f t="shared" si="66"/>
        <v>4.6515268799999987E-3</v>
      </c>
      <c r="AK48" s="348">
        <f t="shared" si="67"/>
        <v>5.4118091796993301E-3</v>
      </c>
      <c r="AL48" s="348">
        <f t="shared" si="68"/>
        <v>4.6515268799999987E-3</v>
      </c>
      <c r="AM48" s="348">
        <f t="shared" si="69"/>
        <v>6.1608998879999988E-2</v>
      </c>
      <c r="AN48" s="348">
        <f t="shared" si="70"/>
        <v>9.3031769831220992E-3</v>
      </c>
      <c r="AO48" s="348">
        <f t="shared" si="71"/>
        <v>1.452E-5</v>
      </c>
      <c r="AP48" s="348">
        <f t="shared" si="72"/>
        <v>6.6937199999999988E-2</v>
      </c>
      <c r="AQ48" s="348">
        <f t="shared" si="26"/>
        <v>4.7164980923076916E-2</v>
      </c>
      <c r="AR48" s="348">
        <f t="shared" si="73"/>
        <v>2.1419903999999993E-2</v>
      </c>
      <c r="AS48" s="348">
        <f t="shared" si="74"/>
        <v>6.6951719999999992E-2</v>
      </c>
      <c r="AT48" s="348">
        <f t="shared" si="75"/>
        <v>0.4357826446523777</v>
      </c>
      <c r="AU48">
        <f t="shared" si="76"/>
        <v>1.9304999999999999</v>
      </c>
      <c r="AV48" s="526">
        <f t="shared" si="47"/>
        <v>0.81583660530274604</v>
      </c>
      <c r="AW48" s="534">
        <f t="shared" si="77"/>
        <v>5.3357260302773417</v>
      </c>
      <c r="AX48" s="534">
        <f t="shared" si="78"/>
        <v>1.0477310975710428</v>
      </c>
      <c r="AY48" s="9"/>
      <c r="AZ48" s="4">
        <f t="shared" si="48"/>
        <v>81.583660530274599</v>
      </c>
      <c r="BA48" s="348">
        <f t="shared" si="79"/>
        <v>0.2013234217887831</v>
      </c>
      <c r="BB48" s="348">
        <f t="shared" si="80"/>
        <v>0.15339996475788364</v>
      </c>
      <c r="BC48" s="348">
        <f t="shared" si="81"/>
        <v>0.12704109595898433</v>
      </c>
      <c r="BD48" s="348">
        <f t="shared" si="82"/>
        <v>2.5742778810099329E-2</v>
      </c>
      <c r="BE48" s="348">
        <f t="shared" si="83"/>
        <v>9.3031769831220992E-3</v>
      </c>
    </row>
    <row r="49" spans="1:64" x14ac:dyDescent="0.25">
      <c r="A49" s="23" t="s">
        <v>68</v>
      </c>
      <c r="B49" s="5">
        <f>Rdson2*1000</f>
        <v>4.0999999999999996</v>
      </c>
      <c r="C49" s="429" t="s">
        <v>450</v>
      </c>
      <c r="D49" s="427" t="s">
        <v>510</v>
      </c>
      <c r="G49">
        <v>40</v>
      </c>
      <c r="H49" s="531">
        <f t="shared" si="49"/>
        <v>6.6</v>
      </c>
      <c r="I49" s="4">
        <f t="shared" si="50"/>
        <v>1</v>
      </c>
      <c r="J49" s="348">
        <f t="shared" si="84"/>
        <v>0.6</v>
      </c>
      <c r="K49" s="348">
        <f t="shared" si="51"/>
        <v>0.6</v>
      </c>
      <c r="L49" s="4">
        <f t="shared" si="52"/>
        <v>0.33333333333333331</v>
      </c>
      <c r="M49" s="348">
        <f t="shared" si="53"/>
        <v>0.5021829701101016</v>
      </c>
      <c r="N49" s="4">
        <f t="shared" si="54"/>
        <v>0.59904267480501561</v>
      </c>
      <c r="O49" s="4">
        <f t="shared" si="39"/>
        <v>0.89952133740250773</v>
      </c>
      <c r="P49" s="4">
        <f t="shared" si="40"/>
        <v>0.30047866259749217</v>
      </c>
      <c r="Q49" s="4">
        <f t="shared" si="55"/>
        <v>0</v>
      </c>
      <c r="R49" s="4">
        <f t="shared" si="41"/>
        <v>0.62442320893215442</v>
      </c>
      <c r="S49" s="348">
        <f t="shared" si="56"/>
        <v>1.3646652034859513E-3</v>
      </c>
      <c r="T49" s="348">
        <f t="shared" si="57"/>
        <v>0.2</v>
      </c>
      <c r="U49" s="348">
        <f t="shared" si="58"/>
        <v>0.20138665123191657</v>
      </c>
      <c r="V49" s="4">
        <f t="shared" si="42"/>
        <v>0.17292872477737462</v>
      </c>
      <c r="W49" s="348">
        <f t="shared" si="10"/>
        <v>5.9808687706257955E-5</v>
      </c>
      <c r="X49" s="348">
        <f t="shared" si="43"/>
        <v>5.9808687706257955E-5</v>
      </c>
      <c r="Y49" s="4">
        <f t="shared" si="44"/>
        <v>0.31220862885144995</v>
      </c>
      <c r="Z49" s="348">
        <f t="shared" si="11"/>
        <v>9.7474227929302421E-5</v>
      </c>
      <c r="AA49" s="525">
        <f t="shared" si="45"/>
        <v>9.7474227929302421E-5</v>
      </c>
      <c r="AB49" s="348">
        <f t="shared" si="46"/>
        <v>0.44249669089722538</v>
      </c>
      <c r="AC49" s="348">
        <f t="shared" si="59"/>
        <v>2.3496398574599357E-3</v>
      </c>
      <c r="AD49" s="348">
        <f t="shared" si="60"/>
        <v>6.1421927617633766E-3</v>
      </c>
      <c r="AE49" s="348">
        <f t="shared" si="61"/>
        <v>7.8115712399999981E-2</v>
      </c>
      <c r="AF49" s="348">
        <f t="shared" si="62"/>
        <v>0</v>
      </c>
      <c r="AG49" s="348">
        <f t="shared" si="63"/>
        <v>8.664174593835218E-2</v>
      </c>
      <c r="AH49" s="348">
        <f t="shared" si="64"/>
        <v>0.44056897575536835</v>
      </c>
      <c r="AI49" s="348">
        <f t="shared" si="65"/>
        <v>7.9581419183235073E-4</v>
      </c>
      <c r="AJ49" s="348">
        <f t="shared" si="66"/>
        <v>4.7707967999999993E-3</v>
      </c>
      <c r="AK49" s="348">
        <f t="shared" si="67"/>
        <v>5.5673322873332608E-3</v>
      </c>
      <c r="AL49" s="348">
        <f t="shared" si="68"/>
        <v>4.7707967999999993E-3</v>
      </c>
      <c r="AM49" s="348">
        <f t="shared" si="69"/>
        <v>6.3188716800000003E-2</v>
      </c>
      <c r="AN49" s="348">
        <f t="shared" si="70"/>
        <v>9.7476085963282243E-3</v>
      </c>
      <c r="AO49" s="348">
        <f t="shared" si="71"/>
        <v>1.452E-5</v>
      </c>
      <c r="AP49" s="348">
        <f t="shared" si="72"/>
        <v>6.6937199999999988E-2</v>
      </c>
      <c r="AQ49" s="348">
        <f t="shared" si="26"/>
        <v>4.7164980923076916E-2</v>
      </c>
      <c r="AR49" s="348">
        <f t="shared" si="73"/>
        <v>2.1419903999999993E-2</v>
      </c>
      <c r="AS49" s="348">
        <f t="shared" si="74"/>
        <v>6.6951719999999992E-2</v>
      </c>
      <c r="AT49" s="348">
        <f t="shared" si="75"/>
        <v>0.43841185456956572</v>
      </c>
      <c r="AU49">
        <f t="shared" si="76"/>
        <v>1.9799999999999998</v>
      </c>
      <c r="AV49" s="526">
        <f t="shared" si="47"/>
        <v>0.81871910950932902</v>
      </c>
      <c r="AW49" s="534">
        <f t="shared" si="77"/>
        <v>5.3905445591067922</v>
      </c>
      <c r="AX49" s="534">
        <f t="shared" si="78"/>
        <v>1.0752780794352639</v>
      </c>
      <c r="AY49" s="9"/>
      <c r="AZ49" s="4">
        <f t="shared" si="48"/>
        <v>81.8719109509329</v>
      </c>
      <c r="BA49" s="348">
        <f t="shared" si="79"/>
        <v>0.20138665123191657</v>
      </c>
      <c r="BB49" s="348">
        <f t="shared" si="80"/>
        <v>0.15539779502568546</v>
      </c>
      <c r="BC49" s="348">
        <f t="shared" si="81"/>
        <v>0.1283462990263522</v>
      </c>
      <c r="BD49" s="348">
        <f t="shared" si="82"/>
        <v>2.6419608831333263E-2</v>
      </c>
      <c r="BE49" s="348">
        <f t="shared" si="83"/>
        <v>9.7476085963282243E-3</v>
      </c>
    </row>
    <row r="50" spans="1:64" x14ac:dyDescent="0.25">
      <c r="A50" s="23" t="s">
        <v>80</v>
      </c>
      <c r="B50" s="5">
        <f>RdsonBotTc*1000000</f>
        <v>4000</v>
      </c>
      <c r="C50" s="427" t="s">
        <v>81</v>
      </c>
      <c r="D50" s="21" t="s">
        <v>104</v>
      </c>
      <c r="G50">
        <v>41</v>
      </c>
      <c r="H50" s="531">
        <f t="shared" si="49"/>
        <v>6.6</v>
      </c>
      <c r="I50" s="4">
        <f t="shared" si="50"/>
        <v>1</v>
      </c>
      <c r="J50" s="348">
        <f t="shared" si="84"/>
        <v>0.61499999999999999</v>
      </c>
      <c r="K50" s="348">
        <f t="shared" si="51"/>
        <v>0.61499999999999999</v>
      </c>
      <c r="L50" s="4">
        <f t="shared" si="52"/>
        <v>0.34166666666666673</v>
      </c>
      <c r="M50" s="348">
        <f t="shared" si="53"/>
        <v>0.50223745754208471</v>
      </c>
      <c r="N50" s="4">
        <f t="shared" si="54"/>
        <v>0.59906534247685062</v>
      </c>
      <c r="O50" s="4">
        <f t="shared" si="39"/>
        <v>0.9145326712384253</v>
      </c>
      <c r="P50" s="4">
        <f t="shared" si="40"/>
        <v>0.31546732876157468</v>
      </c>
      <c r="Q50" s="4">
        <f t="shared" si="55"/>
        <v>0</v>
      </c>
      <c r="R50" s="4">
        <f t="shared" si="41"/>
        <v>0.63885178801221876</v>
      </c>
      <c r="S50" s="348">
        <f t="shared" si="56"/>
        <v>1.428460624662431E-3</v>
      </c>
      <c r="T50" s="348">
        <f t="shared" si="57"/>
        <v>0.2</v>
      </c>
      <c r="U50" s="348">
        <f t="shared" si="58"/>
        <v>0.20145148186543241</v>
      </c>
      <c r="V50" s="4">
        <f t="shared" si="42"/>
        <v>0.17293526837059253</v>
      </c>
      <c r="W50" s="348">
        <f t="shared" si="10"/>
        <v>5.9813214092817725E-5</v>
      </c>
      <c r="X50" s="348">
        <f t="shared" si="43"/>
        <v>5.9813214092817725E-5</v>
      </c>
      <c r="Y50" s="4">
        <f t="shared" si="44"/>
        <v>0.31942269575989402</v>
      </c>
      <c r="Z50" s="348">
        <f t="shared" si="11"/>
        <v>1.0203085856651782E-4</v>
      </c>
      <c r="AA50" s="525">
        <f t="shared" si="45"/>
        <v>1.0203085856651782E-4</v>
      </c>
      <c r="AB50" s="348">
        <f t="shared" si="46"/>
        <v>0.45274604434004018</v>
      </c>
      <c r="AC50" s="348">
        <f t="shared" si="59"/>
        <v>2.4597477679866434E-3</v>
      </c>
      <c r="AD50" s="348">
        <f t="shared" si="60"/>
        <v>6.295747580807462E-3</v>
      </c>
      <c r="AE50" s="348">
        <f t="shared" si="61"/>
        <v>7.8115712399999981E-2</v>
      </c>
      <c r="AF50" s="348">
        <f t="shared" si="62"/>
        <v>0</v>
      </c>
      <c r="AG50" s="348">
        <f t="shared" si="63"/>
        <v>8.6907121041090593E-2</v>
      </c>
      <c r="AH50" s="348">
        <f t="shared" si="64"/>
        <v>0.45072455710872383</v>
      </c>
      <c r="AI50" s="348">
        <f t="shared" si="65"/>
        <v>8.3292576816150639E-4</v>
      </c>
      <c r="AJ50" s="348">
        <f t="shared" si="66"/>
        <v>4.8900667199999991E-3</v>
      </c>
      <c r="AK50" s="348">
        <f t="shared" si="67"/>
        <v>5.7237686329914507E-3</v>
      </c>
      <c r="AL50" s="348">
        <f t="shared" si="68"/>
        <v>4.8900667199999991E-3</v>
      </c>
      <c r="AM50" s="348">
        <f t="shared" si="69"/>
        <v>6.4768434719999976E-2</v>
      </c>
      <c r="AN50" s="348">
        <f t="shared" si="70"/>
        <v>1.0203290176160222E-2</v>
      </c>
      <c r="AO50" s="348">
        <f t="shared" si="71"/>
        <v>1.452E-5</v>
      </c>
      <c r="AP50" s="348">
        <f t="shared" si="72"/>
        <v>6.6937199999999988E-2</v>
      </c>
      <c r="AQ50" s="348">
        <f t="shared" si="26"/>
        <v>4.7164980923076916E-2</v>
      </c>
      <c r="AR50" s="348">
        <f t="shared" si="73"/>
        <v>2.1419903999999993E-2</v>
      </c>
      <c r="AS50" s="348">
        <f t="shared" si="74"/>
        <v>6.6951719999999992E-2</v>
      </c>
      <c r="AT50" s="348">
        <f t="shared" si="75"/>
        <v>0.44105772722833397</v>
      </c>
      <c r="AU50">
        <f t="shared" si="76"/>
        <v>2.0295000000000001</v>
      </c>
      <c r="AV50" s="526">
        <f t="shared" si="47"/>
        <v>0.82147442969359508</v>
      </c>
      <c r="AW50" s="534">
        <f t="shared" si="77"/>
        <v>5.4454800941642043</v>
      </c>
      <c r="AX50" s="534">
        <f t="shared" si="78"/>
        <v>1.1028622300870718</v>
      </c>
      <c r="AY50" s="9"/>
      <c r="AZ50" s="4">
        <f t="shared" si="48"/>
        <v>82.147442969359503</v>
      </c>
      <c r="BA50" s="348">
        <f t="shared" si="79"/>
        <v>0.20145148186543241</v>
      </c>
      <c r="BB50" s="348">
        <f t="shared" si="80"/>
        <v>0.15739932439408202</v>
      </c>
      <c r="BC50" s="348">
        <f t="shared" si="81"/>
        <v>0.12965428795629058</v>
      </c>
      <c r="BD50" s="348">
        <f t="shared" si="82"/>
        <v>2.7097352090591446E-2</v>
      </c>
      <c r="BE50" s="348">
        <f t="shared" si="83"/>
        <v>1.0203290176160222E-2</v>
      </c>
    </row>
    <row r="51" spans="1:64" x14ac:dyDescent="0.25">
      <c r="A51" s="23" t="s">
        <v>67</v>
      </c>
      <c r="B51" s="5">
        <f>Qg_Q2*1000000000</f>
        <v>25</v>
      </c>
      <c r="C51" s="427" t="s">
        <v>65</v>
      </c>
      <c r="D51" s="21" t="s">
        <v>99</v>
      </c>
      <c r="G51">
        <v>42</v>
      </c>
      <c r="H51" s="531">
        <f t="shared" si="49"/>
        <v>6.6</v>
      </c>
      <c r="I51" s="4">
        <f t="shared" si="50"/>
        <v>1</v>
      </c>
      <c r="J51" s="348">
        <f t="shared" si="84"/>
        <v>0.63</v>
      </c>
      <c r="K51" s="348">
        <f t="shared" si="51"/>
        <v>0.63</v>
      </c>
      <c r="L51" s="4">
        <f t="shared" si="52"/>
        <v>0.35</v>
      </c>
      <c r="M51" s="348">
        <f t="shared" si="53"/>
        <v>0.50229194074580985</v>
      </c>
      <c r="N51" s="4">
        <f t="shared" si="54"/>
        <v>0.59908799592107864</v>
      </c>
      <c r="O51" s="4">
        <f t="shared" si="39"/>
        <v>0.92954399796053933</v>
      </c>
      <c r="P51" s="4">
        <f t="shared" si="40"/>
        <v>0.33045600203946068</v>
      </c>
      <c r="Q51" s="4">
        <f t="shared" si="55"/>
        <v>0</v>
      </c>
      <c r="R51" s="4">
        <f t="shared" si="41"/>
        <v>0.65330610658766075</v>
      </c>
      <c r="S51" s="348">
        <f t="shared" si="56"/>
        <v>1.493831041166548E-3</v>
      </c>
      <c r="T51" s="348">
        <f t="shared" si="57"/>
        <v>0.2</v>
      </c>
      <c r="U51" s="348">
        <f t="shared" si="58"/>
        <v>0.20151791373835803</v>
      </c>
      <c r="V51" s="4">
        <f t="shared" si="42"/>
        <v>0.17294180785665411</v>
      </c>
      <c r="W51" s="348">
        <f t="shared" si="10"/>
        <v>5.9817737809455743E-5</v>
      </c>
      <c r="X51" s="348">
        <f t="shared" si="43"/>
        <v>5.9817737809455743E-5</v>
      </c>
      <c r="Y51" s="4">
        <f t="shared" si="44"/>
        <v>0.32664962146380172</v>
      </c>
      <c r="Z51" s="348">
        <f t="shared" si="11"/>
        <v>1.0669997520244495E-4</v>
      </c>
      <c r="AA51" s="525">
        <f t="shared" si="45"/>
        <v>1.0669997520244495E-4</v>
      </c>
      <c r="AB51" s="348">
        <f t="shared" si="46"/>
        <v>0.46301474608232479</v>
      </c>
      <c r="AC51" s="348">
        <f t="shared" si="59"/>
        <v>2.5725918610761565E-3</v>
      </c>
      <c r="AD51" s="348">
        <f t="shared" si="60"/>
        <v>6.4493023998515447E-3</v>
      </c>
      <c r="AE51" s="348">
        <f t="shared" si="61"/>
        <v>7.8115712399999981E-2</v>
      </c>
      <c r="AF51" s="348">
        <f t="shared" si="62"/>
        <v>0</v>
      </c>
      <c r="AG51" s="348">
        <f t="shared" si="63"/>
        <v>8.7175283420262831E-2</v>
      </c>
      <c r="AH51" s="348">
        <f t="shared" si="64"/>
        <v>0.46089718356163578</v>
      </c>
      <c r="AI51" s="348">
        <f t="shared" si="65"/>
        <v>8.7094747664169753E-4</v>
      </c>
      <c r="AJ51" s="348">
        <f t="shared" si="66"/>
        <v>5.0093366399999997E-3</v>
      </c>
      <c r="AK51" s="348">
        <f t="shared" si="67"/>
        <v>5.8811180018287354E-3</v>
      </c>
      <c r="AL51" s="348">
        <f t="shared" si="68"/>
        <v>5.0093366399999997E-3</v>
      </c>
      <c r="AM51" s="348">
        <f t="shared" si="69"/>
        <v>6.6348152640000005E-2</v>
      </c>
      <c r="AN51" s="348">
        <f t="shared" si="70"/>
        <v>1.06702217226182E-2</v>
      </c>
      <c r="AO51" s="348">
        <f t="shared" si="71"/>
        <v>1.452E-5</v>
      </c>
      <c r="AP51" s="348">
        <f t="shared" si="72"/>
        <v>6.6937199999999988E-2</v>
      </c>
      <c r="AQ51" s="348">
        <f t="shared" si="26"/>
        <v>4.7164980923076916E-2</v>
      </c>
      <c r="AR51" s="348">
        <f t="shared" si="73"/>
        <v>2.1419903999999993E-2</v>
      </c>
      <c r="AS51" s="348">
        <f t="shared" si="74"/>
        <v>6.6951719999999992E-2</v>
      </c>
      <c r="AT51" s="348">
        <f t="shared" si="75"/>
        <v>0.44372026387607966</v>
      </c>
      <c r="AU51">
        <f t="shared" si="76"/>
        <v>2.0789999999999997</v>
      </c>
      <c r="AV51" s="526">
        <f t="shared" si="47"/>
        <v>0.82411039772030947</v>
      </c>
      <c r="AW51" s="534">
        <f t="shared" si="77"/>
        <v>5.5005326948318398</v>
      </c>
      <c r="AX51" s="534">
        <f t="shared" si="78"/>
        <v>1.1304835407822698</v>
      </c>
      <c r="AY51" s="9"/>
      <c r="AZ51" s="4">
        <f t="shared" si="48"/>
        <v>82.411039772030946</v>
      </c>
      <c r="BA51" s="348">
        <f t="shared" si="79"/>
        <v>0.20151791373835803</v>
      </c>
      <c r="BB51" s="348">
        <f t="shared" si="80"/>
        <v>0.15940455406209159</v>
      </c>
      <c r="BC51" s="348">
        <f t="shared" si="81"/>
        <v>0.13096506416266285</v>
      </c>
      <c r="BD51" s="348">
        <f t="shared" si="82"/>
        <v>2.7776008373028738E-2</v>
      </c>
      <c r="BE51" s="348">
        <f t="shared" si="83"/>
        <v>1.06702217226182E-2</v>
      </c>
    </row>
    <row r="52" spans="1:64" x14ac:dyDescent="0.25">
      <c r="A52" s="23" t="s">
        <v>91</v>
      </c>
      <c r="B52" s="5">
        <f>Rgate2</f>
        <v>1.2</v>
      </c>
      <c r="C52" s="431" t="s">
        <v>116</v>
      </c>
      <c r="D52" s="21" t="s">
        <v>100</v>
      </c>
      <c r="G52">
        <v>43</v>
      </c>
      <c r="H52" s="531">
        <f t="shared" si="49"/>
        <v>6.6</v>
      </c>
      <c r="I52" s="4">
        <f t="shared" si="50"/>
        <v>1</v>
      </c>
      <c r="J52" s="348">
        <f t="shared" si="84"/>
        <v>0.64500000000000002</v>
      </c>
      <c r="K52" s="348">
        <f t="shared" si="51"/>
        <v>0.64500000000000002</v>
      </c>
      <c r="L52" s="4">
        <f t="shared" si="52"/>
        <v>0.35833333333333334</v>
      </c>
      <c r="M52" s="348">
        <f t="shared" si="53"/>
        <v>0.50234641972176952</v>
      </c>
      <c r="N52" s="4">
        <f t="shared" si="54"/>
        <v>0.59911063513935603</v>
      </c>
      <c r="O52" s="4">
        <f t="shared" si="39"/>
        <v>0.94455531756967803</v>
      </c>
      <c r="P52" s="4">
        <f t="shared" si="40"/>
        <v>0.345444682430322</v>
      </c>
      <c r="Q52" s="4">
        <f t="shared" si="55"/>
        <v>0</v>
      </c>
      <c r="R52" s="4">
        <f t="shared" si="41"/>
        <v>0.66778449325219458</v>
      </c>
      <c r="S52" s="348">
        <f t="shared" si="56"/>
        <v>1.560776452998316E-3</v>
      </c>
      <c r="T52" s="348">
        <f t="shared" si="57"/>
        <v>0.2</v>
      </c>
      <c r="U52" s="348">
        <f t="shared" si="58"/>
        <v>0.20158594690093259</v>
      </c>
      <c r="V52" s="4">
        <f t="shared" si="42"/>
        <v>0.17294834323603744</v>
      </c>
      <c r="W52" s="348">
        <f t="shared" si="10"/>
        <v>5.9822258856180439E-5</v>
      </c>
      <c r="X52" s="348">
        <f t="shared" si="43"/>
        <v>5.9822258856180439E-5</v>
      </c>
      <c r="Y52" s="4">
        <f t="shared" si="44"/>
        <v>0.33388856999444599</v>
      </c>
      <c r="Z52" s="348">
        <f t="shared" si="11"/>
        <v>1.1148157717293607E-4</v>
      </c>
      <c r="AA52" s="525">
        <f t="shared" si="45"/>
        <v>1.1148157717293607E-4</v>
      </c>
      <c r="AB52" s="348">
        <f t="shared" si="46"/>
        <v>0.47330161424062861</v>
      </c>
      <c r="AC52" s="348">
        <f t="shared" si="59"/>
        <v>2.6881730165134181E-3</v>
      </c>
      <c r="AD52" s="348">
        <f t="shared" si="60"/>
        <v>6.6028572188956301E-3</v>
      </c>
      <c r="AE52" s="348">
        <f t="shared" si="61"/>
        <v>7.8115712399999981E-2</v>
      </c>
      <c r="AF52" s="348">
        <f t="shared" si="62"/>
        <v>0</v>
      </c>
      <c r="AG52" s="348">
        <f t="shared" si="63"/>
        <v>8.744623449754832E-2</v>
      </c>
      <c r="AH52" s="348">
        <f t="shared" si="64"/>
        <v>0.47108567308431859</v>
      </c>
      <c r="AI52" s="348">
        <f t="shared" si="65"/>
        <v>9.0987901667975235E-4</v>
      </c>
      <c r="AJ52" s="348">
        <f t="shared" si="66"/>
        <v>5.1286065599999995E-3</v>
      </c>
      <c r="AK52" s="348">
        <f t="shared" si="67"/>
        <v>6.0393801798224898E-3</v>
      </c>
      <c r="AL52" s="348">
        <f t="shared" si="68"/>
        <v>5.1286065599999995E-3</v>
      </c>
      <c r="AM52" s="348">
        <f t="shared" si="69"/>
        <v>6.7927870559999992E-2</v>
      </c>
      <c r="AN52" s="348">
        <f t="shared" si="70"/>
        <v>1.1148403235702257E-2</v>
      </c>
      <c r="AO52" s="348">
        <f t="shared" si="71"/>
        <v>1.452E-5</v>
      </c>
      <c r="AP52" s="348">
        <f t="shared" si="72"/>
        <v>6.6937199999999988E-2</v>
      </c>
      <c r="AQ52" s="348">
        <f t="shared" si="26"/>
        <v>4.7164980923076916E-2</v>
      </c>
      <c r="AR52" s="348">
        <f t="shared" si="73"/>
        <v>2.1419903999999993E-2</v>
      </c>
      <c r="AS52" s="348">
        <f t="shared" si="74"/>
        <v>6.6951719999999992E-2</v>
      </c>
      <c r="AT52" s="348">
        <f t="shared" si="75"/>
        <v>0.44639946577003475</v>
      </c>
      <c r="AU52">
        <f t="shared" si="76"/>
        <v>2.1284999999999998</v>
      </c>
      <c r="AV52" s="526">
        <f t="shared" si="47"/>
        <v>0.82663421554730998</v>
      </c>
      <c r="AW52" s="534">
        <f t="shared" si="77"/>
        <v>5.5557024208202295</v>
      </c>
      <c r="AX52" s="534">
        <f t="shared" si="78"/>
        <v>1.1581420028101355</v>
      </c>
      <c r="AY52" s="9"/>
      <c r="AZ52" s="4">
        <f t="shared" si="48"/>
        <v>82.663421554731002</v>
      </c>
      <c r="BA52" s="348">
        <f t="shared" si="79"/>
        <v>0.20158594690093259</v>
      </c>
      <c r="BB52" s="348">
        <f t="shared" si="80"/>
        <v>0.16141348523737081</v>
      </c>
      <c r="BC52" s="348">
        <f t="shared" si="81"/>
        <v>0.13227862906714832</v>
      </c>
      <c r="BD52" s="348">
        <f t="shared" si="82"/>
        <v>2.8455577464622489E-2</v>
      </c>
      <c r="BE52" s="348">
        <f t="shared" si="83"/>
        <v>1.1148403235702257E-2</v>
      </c>
    </row>
    <row r="53" spans="1:64" x14ac:dyDescent="0.25">
      <c r="A53" s="23" t="s">
        <v>72</v>
      </c>
      <c r="B53" s="5">
        <f>Vsd_Q2</f>
        <v>0.7</v>
      </c>
      <c r="C53" s="427" t="s">
        <v>0</v>
      </c>
      <c r="D53" s="21" t="s">
        <v>105</v>
      </c>
      <c r="G53">
        <v>44</v>
      </c>
      <c r="H53" s="531">
        <f t="shared" si="49"/>
        <v>6.6</v>
      </c>
      <c r="I53" s="4">
        <f t="shared" si="50"/>
        <v>1</v>
      </c>
      <c r="J53" s="348">
        <f t="shared" si="84"/>
        <v>0.66</v>
      </c>
      <c r="K53" s="348">
        <f t="shared" si="51"/>
        <v>0.66</v>
      </c>
      <c r="L53" s="4">
        <f t="shared" si="52"/>
        <v>0.3666666666666667</v>
      </c>
      <c r="M53" s="348">
        <f t="shared" si="53"/>
        <v>0.50240089447045555</v>
      </c>
      <c r="N53" s="4">
        <f t="shared" si="54"/>
        <v>0.59913326013333834</v>
      </c>
      <c r="O53" s="4">
        <f t="shared" si="39"/>
        <v>0.9595666300666692</v>
      </c>
      <c r="P53" s="4">
        <f t="shared" si="40"/>
        <v>0.36043336993333086</v>
      </c>
      <c r="Q53" s="4">
        <f t="shared" si="55"/>
        <v>0</v>
      </c>
      <c r="R53" s="4">
        <f t="shared" si="41"/>
        <v>0.68228541580228741</v>
      </c>
      <c r="S53" s="348">
        <f t="shared" si="56"/>
        <v>1.6292968601577507E-3</v>
      </c>
      <c r="T53" s="348">
        <f t="shared" si="57"/>
        <v>0.2</v>
      </c>
      <c r="U53" s="348">
        <f t="shared" si="58"/>
        <v>0.20165558140460701</v>
      </c>
      <c r="V53" s="4">
        <f t="shared" si="42"/>
        <v>0.17295487450922051</v>
      </c>
      <c r="W53" s="348">
        <f t="shared" si="10"/>
        <v>5.9826777233000432E-5</v>
      </c>
      <c r="X53" s="348">
        <f t="shared" si="43"/>
        <v>5.9826777233000432E-5</v>
      </c>
      <c r="Y53" s="4">
        <f t="shared" si="44"/>
        <v>0.34113877498456829</v>
      </c>
      <c r="Z53" s="348">
        <f t="shared" si="11"/>
        <v>1.1637566379797192E-4</v>
      </c>
      <c r="AA53" s="525">
        <f t="shared" si="45"/>
        <v>1.1637566379797192E-4</v>
      </c>
      <c r="AB53" s="348">
        <f t="shared" si="46"/>
        <v>0.48360556534111809</v>
      </c>
      <c r="AC53" s="348">
        <f t="shared" si="59"/>
        <v>2.8064921139468292E-3</v>
      </c>
      <c r="AD53" s="348">
        <f t="shared" si="60"/>
        <v>6.7564120379397146E-3</v>
      </c>
      <c r="AE53" s="348">
        <f t="shared" si="61"/>
        <v>7.8115712399999981E-2</v>
      </c>
      <c r="AF53" s="348">
        <f t="shared" si="62"/>
        <v>0</v>
      </c>
      <c r="AG53" s="348">
        <f t="shared" si="63"/>
        <v>8.7719975702454003E-2</v>
      </c>
      <c r="AH53" s="348">
        <f t="shared" si="64"/>
        <v>0.48128894209985518</v>
      </c>
      <c r="AI53" s="348">
        <f t="shared" si="65"/>
        <v>9.4972008772915069E-4</v>
      </c>
      <c r="AJ53" s="348">
        <f t="shared" si="66"/>
        <v>5.2478764799999992E-3</v>
      </c>
      <c r="AK53" s="348">
        <f t="shared" si="67"/>
        <v>6.1985549537719011E-3</v>
      </c>
      <c r="AL53" s="348">
        <f t="shared" si="68"/>
        <v>5.2478764799999992E-3</v>
      </c>
      <c r="AM53" s="348">
        <f t="shared" si="69"/>
        <v>6.9507588479999993E-2</v>
      </c>
      <c r="AN53" s="348">
        <f t="shared" si="70"/>
        <v>1.1637834715412507E-2</v>
      </c>
      <c r="AO53" s="348">
        <f t="shared" si="71"/>
        <v>1.452E-5</v>
      </c>
      <c r="AP53" s="348">
        <f t="shared" si="72"/>
        <v>6.6937199999999988E-2</v>
      </c>
      <c r="AQ53" s="348">
        <f t="shared" si="26"/>
        <v>4.7164980923076916E-2</v>
      </c>
      <c r="AR53" s="348">
        <f t="shared" si="73"/>
        <v>2.1419903999999993E-2</v>
      </c>
      <c r="AS53" s="348">
        <f t="shared" si="74"/>
        <v>6.6951719999999992E-2</v>
      </c>
      <c r="AT53" s="348">
        <f t="shared" si="75"/>
        <v>0.44909533417727643</v>
      </c>
      <c r="AU53">
        <f t="shared" si="76"/>
        <v>2.1779999999999999</v>
      </c>
      <c r="AV53" s="526">
        <f t="shared" si="47"/>
        <v>0.82905251730504148</v>
      </c>
      <c r="AW53" s="534">
        <f t="shared" si="77"/>
        <v>5.6109893321686677</v>
      </c>
      <c r="AX53" s="534">
        <f t="shared" si="78"/>
        <v>1.1858376074933963</v>
      </c>
      <c r="AY53" s="9"/>
      <c r="AZ53" s="4">
        <f t="shared" si="48"/>
        <v>82.905251730504148</v>
      </c>
      <c r="BA53" s="348">
        <f t="shared" si="79"/>
        <v>0.20165558140460701</v>
      </c>
      <c r="BB53" s="348">
        <f t="shared" si="80"/>
        <v>0.1634261191362259</v>
      </c>
      <c r="BC53" s="348">
        <f t="shared" si="81"/>
        <v>0.13359498409925399</v>
      </c>
      <c r="BD53" s="348">
        <f t="shared" si="82"/>
        <v>2.9136059152171899E-2</v>
      </c>
      <c r="BE53" s="348">
        <f t="shared" si="83"/>
        <v>1.1637834715412507E-2</v>
      </c>
    </row>
    <row r="54" spans="1:64" x14ac:dyDescent="0.25">
      <c r="A54" s="23" t="s">
        <v>73</v>
      </c>
      <c r="B54" s="5">
        <f>Qrr_Q2*1000000000</f>
        <v>59</v>
      </c>
      <c r="C54" s="427" t="s">
        <v>65</v>
      </c>
      <c r="D54" s="21" t="s">
        <v>110</v>
      </c>
      <c r="G54">
        <v>45</v>
      </c>
      <c r="H54" s="531">
        <f t="shared" si="49"/>
        <v>6.6</v>
      </c>
      <c r="I54" s="4">
        <f t="shared" si="50"/>
        <v>1</v>
      </c>
      <c r="J54" s="348">
        <f t="shared" si="84"/>
        <v>0.67500000000000004</v>
      </c>
      <c r="K54" s="348">
        <f t="shared" si="51"/>
        <v>0.67500000000000004</v>
      </c>
      <c r="L54" s="4">
        <f t="shared" si="52"/>
        <v>0.37500000000000006</v>
      </c>
      <c r="M54" s="348">
        <f t="shared" si="53"/>
        <v>0.50245536499235999</v>
      </c>
      <c r="N54" s="4">
        <f t="shared" si="54"/>
        <v>0.59915587090468114</v>
      </c>
      <c r="O54" s="4">
        <f t="shared" si="39"/>
        <v>0.97457793545234062</v>
      </c>
      <c r="P54" s="4">
        <f t="shared" si="40"/>
        <v>0.37542206454765947</v>
      </c>
      <c r="Q54" s="4">
        <f t="shared" si="55"/>
        <v>0</v>
      </c>
      <c r="R54" s="4">
        <f t="shared" si="41"/>
        <v>0.69680746728918042</v>
      </c>
      <c r="S54" s="348">
        <f t="shared" si="56"/>
        <v>1.699392262644868E-3</v>
      </c>
      <c r="T54" s="348">
        <f t="shared" si="57"/>
        <v>0.2</v>
      </c>
      <c r="U54" s="348">
        <f t="shared" si="58"/>
        <v>0.20172681730204417</v>
      </c>
      <c r="V54" s="4">
        <f t="shared" si="42"/>
        <v>0.17296140167668117</v>
      </c>
      <c r="W54" s="348">
        <f t="shared" si="10"/>
        <v>5.9831292939924492E-5</v>
      </c>
      <c r="X54" s="348">
        <f t="shared" si="43"/>
        <v>5.9831292939924492E-5</v>
      </c>
      <c r="Y54" s="4">
        <f t="shared" si="44"/>
        <v>0.34839953269438756</v>
      </c>
      <c r="Z54" s="348">
        <f t="shared" si="11"/>
        <v>1.2138223438166762E-4</v>
      </c>
      <c r="AA54" s="525">
        <f t="shared" si="45"/>
        <v>1.2138223438166762E-4</v>
      </c>
      <c r="AB54" s="348">
        <f t="shared" si="46"/>
        <v>0.493925604459509</v>
      </c>
      <c r="AC54" s="348">
        <f t="shared" si="59"/>
        <v>2.9275500328882959E-3</v>
      </c>
      <c r="AD54" s="348">
        <f t="shared" si="60"/>
        <v>6.9099668569837999E-3</v>
      </c>
      <c r="AE54" s="348">
        <f t="shared" si="61"/>
        <v>7.8115712399999981E-2</v>
      </c>
      <c r="AF54" s="348">
        <f t="shared" si="62"/>
        <v>0</v>
      </c>
      <c r="AG54" s="348">
        <f t="shared" si="63"/>
        <v>8.7996508472325805E-2</v>
      </c>
      <c r="AH54" s="348">
        <f t="shared" si="64"/>
        <v>0.49150599561884384</v>
      </c>
      <c r="AI54" s="348">
        <f t="shared" si="65"/>
        <v>9.9047038929001084E-4</v>
      </c>
      <c r="AJ54" s="348">
        <f t="shared" si="66"/>
        <v>5.3671463999999999E-3</v>
      </c>
      <c r="AK54" s="348">
        <f t="shared" si="67"/>
        <v>6.3586421112972209E-3</v>
      </c>
      <c r="AL54" s="348">
        <f t="shared" si="68"/>
        <v>5.3671463999999999E-3</v>
      </c>
      <c r="AM54" s="348">
        <f t="shared" si="69"/>
        <v>7.1087306399999994E-2</v>
      </c>
      <c r="AN54" s="348">
        <f t="shared" si="70"/>
        <v>1.2138516161749057E-2</v>
      </c>
      <c r="AO54" s="348">
        <f t="shared" si="71"/>
        <v>1.452E-5</v>
      </c>
      <c r="AP54" s="348">
        <f t="shared" si="72"/>
        <v>6.6937199999999988E-2</v>
      </c>
      <c r="AQ54" s="348">
        <f t="shared" si="26"/>
        <v>4.7164980923076916E-2</v>
      </c>
      <c r="AR54" s="348">
        <f t="shared" si="73"/>
        <v>2.1419903999999993E-2</v>
      </c>
      <c r="AS54" s="348">
        <f t="shared" si="74"/>
        <v>6.6951719999999992E-2</v>
      </c>
      <c r="AT54" s="348">
        <f t="shared" si="75"/>
        <v>0.45180787037473785</v>
      </c>
      <c r="AU54">
        <f t="shared" si="76"/>
        <v>2.2275</v>
      </c>
      <c r="AV54" s="526">
        <f t="shared" si="47"/>
        <v>0.83137142417621979</v>
      </c>
      <c r="AW54" s="534">
        <f t="shared" si="77"/>
        <v>5.6663934892456833</v>
      </c>
      <c r="AX54" s="534">
        <f t="shared" si="78"/>
        <v>1.213570346188197</v>
      </c>
      <c r="AY54" s="9"/>
      <c r="AZ54" s="4">
        <f t="shared" si="48"/>
        <v>83.137142417621973</v>
      </c>
      <c r="BA54" s="348">
        <f t="shared" si="79"/>
        <v>0.20172681730204417</v>
      </c>
      <c r="BB54" s="348">
        <f t="shared" si="80"/>
        <v>0.16544245698362303</v>
      </c>
      <c r="BC54" s="348">
        <f t="shared" si="81"/>
        <v>0.1349141306963258</v>
      </c>
      <c r="BD54" s="348">
        <f t="shared" si="82"/>
        <v>2.9817453223297222E-2</v>
      </c>
      <c r="BE54" s="348">
        <f t="shared" si="83"/>
        <v>1.2138516161749057E-2</v>
      </c>
    </row>
    <row r="55" spans="1:64" x14ac:dyDescent="0.25">
      <c r="A55" s="23" t="s">
        <v>74</v>
      </c>
      <c r="B55" s="5">
        <f>Trr_Q2*1000000000</f>
        <v>40</v>
      </c>
      <c r="C55" s="427" t="s">
        <v>75</v>
      </c>
      <c r="D55" s="76" t="s">
        <v>106</v>
      </c>
      <c r="G55">
        <v>46</v>
      </c>
      <c r="H55" s="531">
        <f t="shared" si="49"/>
        <v>6.6</v>
      </c>
      <c r="I55" s="4">
        <f t="shared" si="50"/>
        <v>1</v>
      </c>
      <c r="J55" s="348">
        <f t="shared" si="84"/>
        <v>0.69</v>
      </c>
      <c r="K55" s="348">
        <f t="shared" si="51"/>
        <v>0.69</v>
      </c>
      <c r="L55" s="4">
        <f t="shared" si="52"/>
        <v>0.3833333333333333</v>
      </c>
      <c r="M55" s="348">
        <f t="shared" si="53"/>
        <v>0.50250983128797477</v>
      </c>
      <c r="N55" s="4">
        <f t="shared" si="54"/>
        <v>0.59917846745503978</v>
      </c>
      <c r="O55" s="4">
        <f t="shared" si="39"/>
        <v>0.98958923372751983</v>
      </c>
      <c r="P55" s="4">
        <f t="shared" si="40"/>
        <v>0.39041076627248006</v>
      </c>
      <c r="Q55" s="4">
        <f t="shared" si="55"/>
        <v>0</v>
      </c>
      <c r="R55" s="4">
        <f t="shared" si="41"/>
        <v>0.71134935368529073</v>
      </c>
      <c r="S55" s="348">
        <f t="shared" si="56"/>
        <v>1.7710626604596829E-3</v>
      </c>
      <c r="T55" s="348">
        <f t="shared" si="57"/>
        <v>0.2</v>
      </c>
      <c r="U55" s="348">
        <f t="shared" si="58"/>
        <v>0.20179965464711883</v>
      </c>
      <c r="V55" s="4">
        <f t="shared" si="42"/>
        <v>0.17296792473889733</v>
      </c>
      <c r="W55" s="348">
        <f t="shared" si="10"/>
        <v>5.9835805976961697E-5</v>
      </c>
      <c r="X55" s="348">
        <f t="shared" si="43"/>
        <v>5.9835805976961697E-5</v>
      </c>
      <c r="Y55" s="4">
        <f t="shared" si="44"/>
        <v>0.35567019584480108</v>
      </c>
      <c r="Z55" s="348">
        <f t="shared" si="11"/>
        <v>1.2650128821227916E-4</v>
      </c>
      <c r="AA55" s="525">
        <f t="shared" si="45"/>
        <v>1.2650128821227916E-4</v>
      </c>
      <c r="AB55" s="348">
        <f t="shared" si="46"/>
        <v>0.50426081650217114</v>
      </c>
      <c r="AC55" s="348">
        <f t="shared" si="59"/>
        <v>3.0513476527132357E-3</v>
      </c>
      <c r="AD55" s="348">
        <f t="shared" si="60"/>
        <v>7.0635216760278827E-3</v>
      </c>
      <c r="AE55" s="348">
        <f t="shared" si="61"/>
        <v>7.8115712399999981E-2</v>
      </c>
      <c r="AF55" s="348">
        <f t="shared" si="62"/>
        <v>0</v>
      </c>
      <c r="AG55" s="348">
        <f t="shared" si="63"/>
        <v>8.8275834252360172E-2</v>
      </c>
      <c r="AH55" s="348">
        <f t="shared" si="64"/>
        <v>0.50173591851595056</v>
      </c>
      <c r="AI55" s="348">
        <f t="shared" si="65"/>
        <v>1.0321296209090825E-3</v>
      </c>
      <c r="AJ55" s="348">
        <f t="shared" si="66"/>
        <v>5.4864163199999988E-3</v>
      </c>
      <c r="AK55" s="348">
        <f t="shared" si="67"/>
        <v>6.5196414408390255E-3</v>
      </c>
      <c r="AL55" s="348">
        <f t="shared" si="68"/>
        <v>5.4864163199999988E-3</v>
      </c>
      <c r="AM55" s="348">
        <f t="shared" si="69"/>
        <v>7.2667024319999995E-2</v>
      </c>
      <c r="AN55" s="348">
        <f t="shared" si="70"/>
        <v>1.2650447574712021E-2</v>
      </c>
      <c r="AO55" s="348">
        <f t="shared" si="71"/>
        <v>1.452E-5</v>
      </c>
      <c r="AP55" s="348">
        <f t="shared" si="72"/>
        <v>6.6937199999999988E-2</v>
      </c>
      <c r="AQ55" s="348">
        <f t="shared" si="26"/>
        <v>4.7164980923076916E-2</v>
      </c>
      <c r="AR55" s="348">
        <f t="shared" si="73"/>
        <v>2.1419903999999993E-2</v>
      </c>
      <c r="AS55" s="348">
        <f t="shared" si="74"/>
        <v>6.6951719999999992E-2</v>
      </c>
      <c r="AT55" s="348">
        <f t="shared" si="75"/>
        <v>0.4545370756492193</v>
      </c>
      <c r="AU55">
        <f t="shared" si="76"/>
        <v>2.2769999999999997</v>
      </c>
      <c r="AV55" s="526">
        <f t="shared" si="47"/>
        <v>0.83359659303134781</v>
      </c>
      <c r="AW55" s="534">
        <f t="shared" si="77"/>
        <v>5.7219149527495272</v>
      </c>
      <c r="AX55" s="534">
        <f t="shared" si="78"/>
        <v>1.2413402102840683</v>
      </c>
      <c r="AY55" s="9"/>
      <c r="AZ55" s="4">
        <f t="shared" si="48"/>
        <v>83.359659303134777</v>
      </c>
      <c r="BA55" s="348">
        <f t="shared" si="79"/>
        <v>0.20179965464711883</v>
      </c>
      <c r="BB55" s="348">
        <f t="shared" si="80"/>
        <v>0.16746250001319918</v>
      </c>
      <c r="BC55" s="348">
        <f t="shared" si="81"/>
        <v>0.13623607030356016</v>
      </c>
      <c r="BD55" s="348">
        <f t="shared" si="82"/>
        <v>3.0499759466439024E-2</v>
      </c>
      <c r="BE55" s="348">
        <f t="shared" si="83"/>
        <v>1.2650447574712021E-2</v>
      </c>
    </row>
    <row r="56" spans="1:64" ht="15.5" x14ac:dyDescent="0.4">
      <c r="A56" s="433" t="s">
        <v>455</v>
      </c>
      <c r="B56" s="5">
        <f>ThetaJA_Q2</f>
        <v>40.700000000000003</v>
      </c>
      <c r="C56" s="428" t="s">
        <v>202</v>
      </c>
      <c r="D56" s="76" t="s">
        <v>103</v>
      </c>
      <c r="E56" s="2"/>
      <c r="G56">
        <v>47</v>
      </c>
      <c r="H56" s="531">
        <f t="shared" si="49"/>
        <v>6.6</v>
      </c>
      <c r="I56" s="4">
        <f t="shared" si="50"/>
        <v>1</v>
      </c>
      <c r="J56" s="348">
        <f t="shared" si="84"/>
        <v>0.70499999999999996</v>
      </c>
      <c r="K56" s="348">
        <f t="shared" si="51"/>
        <v>0.70499999999999996</v>
      </c>
      <c r="L56" s="4">
        <f t="shared" si="52"/>
        <v>0.39166666666666666</v>
      </c>
      <c r="M56" s="348">
        <f t="shared" si="53"/>
        <v>0.50256429335779174</v>
      </c>
      <c r="N56" s="4">
        <f t="shared" si="54"/>
        <v>0.59920104978606914</v>
      </c>
      <c r="O56" s="4">
        <f t="shared" si="39"/>
        <v>1.0046005248930345</v>
      </c>
      <c r="P56" s="4">
        <f t="shared" si="40"/>
        <v>0.40539947510696539</v>
      </c>
      <c r="Q56" s="4">
        <f t="shared" si="55"/>
        <v>0</v>
      </c>
      <c r="R56" s="4">
        <f t="shared" si="41"/>
        <v>0.72590988295521952</v>
      </c>
      <c r="S56" s="348">
        <f t="shared" si="56"/>
        <v>1.8443080536022121E-3</v>
      </c>
      <c r="T56" s="348">
        <f t="shared" si="57"/>
        <v>0.2</v>
      </c>
      <c r="U56" s="348">
        <f t="shared" si="58"/>
        <v>0.20187409349491792</v>
      </c>
      <c r="V56" s="4">
        <f t="shared" si="42"/>
        <v>0.17297444369634668</v>
      </c>
      <c r="W56" s="348">
        <f t="shared" si="10"/>
        <v>5.9840316344121217E-5</v>
      </c>
      <c r="X56" s="348">
        <f t="shared" si="43"/>
        <v>5.9840316344121217E-5</v>
      </c>
      <c r="Y56" s="4">
        <f t="shared" si="44"/>
        <v>0.36295016815288733</v>
      </c>
      <c r="Z56" s="348">
        <f t="shared" si="11"/>
        <v>1.3173282456220919E-4</v>
      </c>
      <c r="AA56" s="525">
        <f t="shared" si="45"/>
        <v>1.3173282456220919E-4</v>
      </c>
      <c r="AB56" s="348">
        <f t="shared" si="46"/>
        <v>0.51461035848013337</v>
      </c>
      <c r="AC56" s="348">
        <f t="shared" si="59"/>
        <v>3.1778858526606167E-3</v>
      </c>
      <c r="AD56" s="348">
        <f t="shared" si="60"/>
        <v>7.217076495071968E-3</v>
      </c>
      <c r="AE56" s="348">
        <f t="shared" si="61"/>
        <v>7.8115712399999981E-2</v>
      </c>
      <c r="AF56" s="348">
        <f t="shared" si="62"/>
        <v>0</v>
      </c>
      <c r="AG56" s="348">
        <f t="shared" si="63"/>
        <v>8.8557954495615571E-2</v>
      </c>
      <c r="AH56" s="348">
        <f t="shared" si="64"/>
        <v>0.51197786779997545</v>
      </c>
      <c r="AI56" s="348">
        <f t="shared" si="65"/>
        <v>1.0746974821797372E-3</v>
      </c>
      <c r="AJ56" s="348">
        <f t="shared" si="66"/>
        <v>5.6056862399999985E-3</v>
      </c>
      <c r="AK56" s="348">
        <f t="shared" si="67"/>
        <v>6.6815527316574919E-3</v>
      </c>
      <c r="AL56" s="348">
        <f t="shared" si="68"/>
        <v>5.6056862399999985E-3</v>
      </c>
      <c r="AM56" s="348">
        <f t="shared" si="69"/>
        <v>7.4246742239999997E-2</v>
      </c>
      <c r="AN56" s="348">
        <f t="shared" si="70"/>
        <v>1.3173628954301514E-2</v>
      </c>
      <c r="AO56" s="348">
        <f t="shared" si="71"/>
        <v>1.452E-5</v>
      </c>
      <c r="AP56" s="348">
        <f t="shared" si="72"/>
        <v>6.6937199999999988E-2</v>
      </c>
      <c r="AQ56" s="348">
        <f t="shared" si="26"/>
        <v>4.7164980923076916E-2</v>
      </c>
      <c r="AR56" s="348">
        <f t="shared" si="73"/>
        <v>2.1419903999999993E-2</v>
      </c>
      <c r="AS56" s="348">
        <f t="shared" si="74"/>
        <v>6.6951719999999992E-2</v>
      </c>
      <c r="AT56" s="348">
        <f t="shared" si="75"/>
        <v>0.45728295129739882</v>
      </c>
      <c r="AU56">
        <f t="shared" si="76"/>
        <v>2.3264999999999998</v>
      </c>
      <c r="AV56" s="526">
        <f t="shared" si="47"/>
        <v>0.83573325963352163</v>
      </c>
      <c r="AW56" s="534">
        <f t="shared" si="77"/>
        <v>5.7775537837086546</v>
      </c>
      <c r="AX56" s="534">
        <f t="shared" si="78"/>
        <v>1.2691471912039001</v>
      </c>
      <c r="AY56" s="9"/>
      <c r="AZ56" s="4">
        <f t="shared" si="48"/>
        <v>83.573325963352161</v>
      </c>
      <c r="BA56" s="348">
        <f t="shared" si="79"/>
        <v>0.20187409349491792</v>
      </c>
      <c r="BB56" s="348">
        <f t="shared" si="80"/>
        <v>0.16948624946727306</v>
      </c>
      <c r="BC56" s="348">
        <f t="shared" si="81"/>
        <v>0.13756080437401558</v>
      </c>
      <c r="BD56" s="348">
        <f t="shared" si="82"/>
        <v>3.1182977670857492E-2</v>
      </c>
      <c r="BE56" s="348">
        <f t="shared" si="83"/>
        <v>1.3173628954301514E-2</v>
      </c>
      <c r="BK56" s="18"/>
      <c r="BL56" s="19"/>
    </row>
    <row r="57" spans="1:64" ht="13" x14ac:dyDescent="0.3">
      <c r="A57" s="24" t="s">
        <v>221</v>
      </c>
      <c r="B57" s="15" t="s">
        <v>111</v>
      </c>
      <c r="C57" s="24" t="s">
        <v>76</v>
      </c>
      <c r="D57" s="24" t="s">
        <v>210</v>
      </c>
      <c r="G57">
        <v>48</v>
      </c>
      <c r="H57" s="531">
        <f t="shared" si="49"/>
        <v>6.6</v>
      </c>
      <c r="I57" s="4">
        <f t="shared" si="50"/>
        <v>1</v>
      </c>
      <c r="J57" s="348">
        <f t="shared" si="84"/>
        <v>0.72</v>
      </c>
      <c r="K57" s="348">
        <f t="shared" si="51"/>
        <v>0.72</v>
      </c>
      <c r="L57" s="4">
        <f t="shared" si="52"/>
        <v>0.4</v>
      </c>
      <c r="M57" s="348">
        <f t="shared" si="53"/>
        <v>0.50261875120230259</v>
      </c>
      <c r="N57" s="4">
        <f t="shared" si="54"/>
        <v>0.59922361789942391</v>
      </c>
      <c r="O57" s="4">
        <f t="shared" si="39"/>
        <v>1.0196118089497119</v>
      </c>
      <c r="P57" s="4">
        <f t="shared" si="40"/>
        <v>0.42038819105028802</v>
      </c>
      <c r="Q57" s="4">
        <f t="shared" si="55"/>
        <v>0</v>
      </c>
      <c r="R57" s="4">
        <f t="shared" si="41"/>
        <v>0.74048795535154133</v>
      </c>
      <c r="S57" s="348">
        <f t="shared" si="56"/>
        <v>1.9191284420724721E-3</v>
      </c>
      <c r="T57" s="348">
        <f t="shared" si="57"/>
        <v>0.2</v>
      </c>
      <c r="U57" s="348">
        <f t="shared" si="58"/>
        <v>0.20195013390174057</v>
      </c>
      <c r="V57" s="4">
        <f t="shared" si="42"/>
        <v>0.17298095854950693</v>
      </c>
      <c r="W57" s="348">
        <f t="shared" si="10"/>
        <v>5.984482404141247E-5</v>
      </c>
      <c r="X57" s="348">
        <f t="shared" si="43"/>
        <v>5.984482404141247E-5</v>
      </c>
      <c r="Y57" s="4">
        <f t="shared" si="44"/>
        <v>0.37023889947980038</v>
      </c>
      <c r="Z57" s="348">
        <f t="shared" si="11"/>
        <v>1.3707684268801374E-4</v>
      </c>
      <c r="AA57" s="525">
        <f t="shared" si="45"/>
        <v>1.3707684268801374E-4</v>
      </c>
      <c r="AB57" s="348">
        <f t="shared" si="46"/>
        <v>0.52497345264887607</v>
      </c>
      <c r="AC57" s="348">
        <f t="shared" si="59"/>
        <v>3.3071655118329804E-3</v>
      </c>
      <c r="AD57" s="348">
        <f t="shared" si="60"/>
        <v>7.3706313141160525E-3</v>
      </c>
      <c r="AE57" s="348">
        <f t="shared" si="61"/>
        <v>7.8115712399999981E-2</v>
      </c>
      <c r="AF57" s="348">
        <f t="shared" si="62"/>
        <v>0</v>
      </c>
      <c r="AG57" s="348">
        <f t="shared" si="63"/>
        <v>8.8842870663024293E-2</v>
      </c>
      <c r="AH57" s="348">
        <f t="shared" si="64"/>
        <v>0.52223106575023326</v>
      </c>
      <c r="AI57" s="348">
        <f t="shared" si="65"/>
        <v>1.1181736727419601E-3</v>
      </c>
      <c r="AJ57" s="348">
        <f t="shared" si="66"/>
        <v>5.7249561599999992E-3</v>
      </c>
      <c r="AK57" s="348">
        <f t="shared" si="67"/>
        <v>6.8443757738316548E-3</v>
      </c>
      <c r="AL57" s="348">
        <f t="shared" si="68"/>
        <v>5.7249561599999992E-3</v>
      </c>
      <c r="AM57" s="348">
        <f t="shared" si="69"/>
        <v>7.5826460159999998E-2</v>
      </c>
      <c r="AN57" s="348">
        <f t="shared" si="70"/>
        <v>1.3708060300517659E-2</v>
      </c>
      <c r="AO57" s="348">
        <f t="shared" si="71"/>
        <v>1.452E-5</v>
      </c>
      <c r="AP57" s="348">
        <f t="shared" si="72"/>
        <v>6.6937199999999988E-2</v>
      </c>
      <c r="AQ57" s="348">
        <f t="shared" si="26"/>
        <v>4.7164980923076916E-2</v>
      </c>
      <c r="AR57" s="348">
        <f t="shared" si="73"/>
        <v>2.1419903999999993E-2</v>
      </c>
      <c r="AS57" s="348">
        <f t="shared" si="74"/>
        <v>6.6951719999999992E-2</v>
      </c>
      <c r="AT57" s="348">
        <f t="shared" si="75"/>
        <v>0.46004549862584365</v>
      </c>
      <c r="AU57">
        <f t="shared" si="76"/>
        <v>2.3759999999999999</v>
      </c>
      <c r="AV57" s="526">
        <f t="shared" si="47"/>
        <v>0.83778627710706655</v>
      </c>
      <c r="AW57" s="534">
        <f t="shared" si="77"/>
        <v>5.8333100434822205</v>
      </c>
      <c r="AX57" s="534">
        <f t="shared" si="78"/>
        <v>1.2969912804039085</v>
      </c>
      <c r="AY57" s="9"/>
      <c r="AZ57" s="4">
        <f t="shared" si="48"/>
        <v>83.778627710706658</v>
      </c>
      <c r="BA57" s="348">
        <f t="shared" si="79"/>
        <v>0.20195013390174057</v>
      </c>
      <c r="BB57" s="348">
        <f t="shared" si="80"/>
        <v>0.17151370659685594</v>
      </c>
      <c r="BC57" s="348">
        <f t="shared" si="81"/>
        <v>0.1388883343686243</v>
      </c>
      <c r="BD57" s="348">
        <f t="shared" si="82"/>
        <v>3.1867107626631655E-2</v>
      </c>
      <c r="BE57" s="348">
        <f t="shared" si="83"/>
        <v>1.3708060300517659E-2</v>
      </c>
      <c r="BK57" s="18"/>
      <c r="BL57" s="19"/>
    </row>
    <row r="58" spans="1:64" x14ac:dyDescent="0.25">
      <c r="A58" s="23" t="s">
        <v>192</v>
      </c>
      <c r="B58" s="73">
        <f>VfdSky_Q2</f>
        <v>0</v>
      </c>
      <c r="C58" s="427" t="s">
        <v>0</v>
      </c>
      <c r="D58" s="76" t="s">
        <v>195</v>
      </c>
      <c r="G58">
        <v>49</v>
      </c>
      <c r="H58" s="531">
        <f t="shared" si="49"/>
        <v>6.6</v>
      </c>
      <c r="I58" s="4">
        <f t="shared" si="50"/>
        <v>1</v>
      </c>
      <c r="J58" s="348">
        <f t="shared" si="84"/>
        <v>0.73499999999999999</v>
      </c>
      <c r="K58" s="348">
        <f t="shared" si="51"/>
        <v>0.73499999999999999</v>
      </c>
      <c r="L58" s="4">
        <f t="shared" si="52"/>
        <v>0.40833333333333338</v>
      </c>
      <c r="M58" s="348">
        <f t="shared" si="53"/>
        <v>0.50267320482199918</v>
      </c>
      <c r="N58" s="4">
        <f t="shared" si="54"/>
        <v>0.59924617179675899</v>
      </c>
      <c r="O58" s="4">
        <f t="shared" si="39"/>
        <v>1.0346230858983794</v>
      </c>
      <c r="P58" s="4">
        <f t="shared" si="40"/>
        <v>0.43537691410162049</v>
      </c>
      <c r="Q58" s="4">
        <f t="shared" si="55"/>
        <v>0</v>
      </c>
      <c r="R58" s="4">
        <f t="shared" si="41"/>
        <v>0.75508255478088127</v>
      </c>
      <c r="S58" s="348">
        <f t="shared" si="56"/>
        <v>1.9955238258704787E-3</v>
      </c>
      <c r="T58" s="348">
        <f t="shared" si="57"/>
        <v>0.2</v>
      </c>
      <c r="U58" s="348">
        <f t="shared" si="58"/>
        <v>0.20202777592509819</v>
      </c>
      <c r="V58" s="4">
        <f t="shared" si="42"/>
        <v>0.17298746929885578</v>
      </c>
      <c r="W58" s="348">
        <f t="shared" si="10"/>
        <v>5.984932906884514E-5</v>
      </c>
      <c r="X58" s="348">
        <f t="shared" si="43"/>
        <v>5.984932906884514E-5</v>
      </c>
      <c r="Y58" s="4">
        <f t="shared" si="44"/>
        <v>0.37753588151380751</v>
      </c>
      <c r="Z58" s="348">
        <f t="shared" si="11"/>
        <v>1.425333418304077E-4</v>
      </c>
      <c r="AA58" s="525">
        <f t="shared" si="45"/>
        <v>1.425333418304077E-4</v>
      </c>
      <c r="AB58" s="348">
        <f t="shared" si="46"/>
        <v>0.53534938040470903</v>
      </c>
      <c r="AC58" s="348">
        <f t="shared" si="59"/>
        <v>3.4391875091964704E-3</v>
      </c>
      <c r="AD58" s="348">
        <f t="shared" si="60"/>
        <v>7.524186133160137E-3</v>
      </c>
      <c r="AE58" s="348">
        <f t="shared" si="61"/>
        <v>7.8115712399999981E-2</v>
      </c>
      <c r="AF58" s="348">
        <f t="shared" si="62"/>
        <v>0</v>
      </c>
      <c r="AG58" s="348">
        <f t="shared" si="63"/>
        <v>8.9130584223403947E-2</v>
      </c>
      <c r="AH58" s="348">
        <f t="shared" si="64"/>
        <v>0.53249479380996456</v>
      </c>
      <c r="AI58" s="348">
        <f t="shared" si="65"/>
        <v>1.1625578922823381E-3</v>
      </c>
      <c r="AJ58" s="348">
        <f t="shared" si="66"/>
        <v>5.8442260799999989E-3</v>
      </c>
      <c r="AK58" s="348">
        <f t="shared" si="67"/>
        <v>7.0081103582586733E-3</v>
      </c>
      <c r="AL58" s="348">
        <f t="shared" si="68"/>
        <v>5.8442260799999989E-3</v>
      </c>
      <c r="AM58" s="348">
        <f t="shared" si="69"/>
        <v>7.7406178079999985E-2</v>
      </c>
      <c r="AN58" s="348">
        <f t="shared" si="70"/>
        <v>1.4253741613360564E-2</v>
      </c>
      <c r="AO58" s="348">
        <f t="shared" si="71"/>
        <v>1.452E-5</v>
      </c>
      <c r="AP58" s="348">
        <f t="shared" si="72"/>
        <v>6.6937199999999988E-2</v>
      </c>
      <c r="AQ58" s="348">
        <f t="shared" si="26"/>
        <v>4.7164980923076916E-2</v>
      </c>
      <c r="AR58" s="348">
        <f t="shared" si="73"/>
        <v>2.1419903999999993E-2</v>
      </c>
      <c r="AS58" s="348">
        <f t="shared" si="74"/>
        <v>6.6951719999999992E-2</v>
      </c>
      <c r="AT58" s="348">
        <f t="shared" si="75"/>
        <v>0.46282471895102062</v>
      </c>
      <c r="AU58">
        <f t="shared" si="76"/>
        <v>2.4255</v>
      </c>
      <c r="AV58" s="526">
        <f t="shared" si="47"/>
        <v>0.83976015026485362</v>
      </c>
      <c r="AW58" s="534">
        <f t="shared" si="77"/>
        <v>5.8891837937605658</v>
      </c>
      <c r="AX58" s="534">
        <f t="shared" si="78"/>
        <v>1.3248724693736078</v>
      </c>
      <c r="AY58" s="9"/>
      <c r="AZ58" s="4">
        <f t="shared" si="48"/>
        <v>83.976015026485356</v>
      </c>
      <c r="BA58" s="348">
        <f t="shared" si="79"/>
        <v>0.20202777592509819</v>
      </c>
      <c r="BB58" s="348">
        <f t="shared" si="80"/>
        <v>0.1735448726616626</v>
      </c>
      <c r="BC58" s="348">
        <f t="shared" si="81"/>
        <v>0.14021866175620396</v>
      </c>
      <c r="BD58" s="348">
        <f t="shared" si="82"/>
        <v>3.2552149124658668E-2</v>
      </c>
      <c r="BE58" s="348">
        <f t="shared" si="83"/>
        <v>1.4253741613360564E-2</v>
      </c>
      <c r="BK58" s="18"/>
      <c r="BL58" s="19"/>
    </row>
    <row r="59" spans="1:64" x14ac:dyDescent="0.25">
      <c r="A59" s="23" t="s">
        <v>193</v>
      </c>
      <c r="B59" s="73">
        <f>QrrSky_Q2*1000000000</f>
        <v>0</v>
      </c>
      <c r="C59" s="427" t="s">
        <v>65</v>
      </c>
      <c r="D59" s="76" t="s">
        <v>196</v>
      </c>
      <c r="G59">
        <v>50</v>
      </c>
      <c r="H59" s="531">
        <f t="shared" si="49"/>
        <v>6.6</v>
      </c>
      <c r="I59" s="4">
        <f t="shared" si="50"/>
        <v>1</v>
      </c>
      <c r="J59" s="348">
        <f t="shared" si="84"/>
        <v>0.75</v>
      </c>
      <c r="K59" s="348">
        <f t="shared" si="51"/>
        <v>0.75</v>
      </c>
      <c r="L59" s="4">
        <f t="shared" si="52"/>
        <v>0.41666666666666663</v>
      </c>
      <c r="M59" s="348">
        <f t="shared" si="53"/>
        <v>0.50272765421737298</v>
      </c>
      <c r="N59" s="4">
        <f t="shared" si="54"/>
        <v>0.59926871147972816</v>
      </c>
      <c r="O59" s="4">
        <f t="shared" si="39"/>
        <v>1.049634355739864</v>
      </c>
      <c r="P59" s="4">
        <f t="shared" si="40"/>
        <v>0.45036564426013592</v>
      </c>
      <c r="Q59" s="4">
        <f t="shared" si="55"/>
        <v>0</v>
      </c>
      <c r="R59" s="4">
        <f t="shared" si="41"/>
        <v>0.76969274110726449</v>
      </c>
      <c r="S59" s="348">
        <f t="shared" si="56"/>
        <v>2.0734942049962508E-3</v>
      </c>
      <c r="T59" s="348">
        <f t="shared" si="57"/>
        <v>0.2</v>
      </c>
      <c r="U59" s="348">
        <f t="shared" si="58"/>
        <v>0.20210701962371458</v>
      </c>
      <c r="V59" s="4">
        <f t="shared" si="42"/>
        <v>0.17299397594487062</v>
      </c>
      <c r="W59" s="348">
        <f t="shared" si="10"/>
        <v>5.985383142642895E-5</v>
      </c>
      <c r="X59" s="348">
        <f t="shared" si="43"/>
        <v>5.985383142642895E-5</v>
      </c>
      <c r="Y59" s="4">
        <f t="shared" si="44"/>
        <v>0.3848406439219636</v>
      </c>
      <c r="Z59" s="348">
        <f t="shared" si="11"/>
        <v>1.481023212142716E-4</v>
      </c>
      <c r="AA59" s="525">
        <f t="shared" si="45"/>
        <v>1.481023212142716E-4</v>
      </c>
      <c r="AB59" s="348">
        <f t="shared" si="46"/>
        <v>0.54573747684370888</v>
      </c>
      <c r="AC59" s="348">
        <f t="shared" si="59"/>
        <v>3.573952723580852E-3</v>
      </c>
      <c r="AD59" s="348">
        <f t="shared" si="60"/>
        <v>7.6777409522042206E-3</v>
      </c>
      <c r="AE59" s="348">
        <f t="shared" si="61"/>
        <v>7.8115712399999981E-2</v>
      </c>
      <c r="AF59" s="348">
        <f t="shared" si="62"/>
        <v>0</v>
      </c>
      <c r="AG59" s="348">
        <f t="shared" si="63"/>
        <v>8.942109665346934E-2</v>
      </c>
      <c r="AH59" s="348">
        <f t="shared" si="64"/>
        <v>0.54276838714268982</v>
      </c>
      <c r="AI59" s="348">
        <f t="shared" si="65"/>
        <v>1.2078498405340549E-3</v>
      </c>
      <c r="AJ59" s="348">
        <f t="shared" si="66"/>
        <v>5.9634959999999987E-3</v>
      </c>
      <c r="AK59" s="348">
        <f t="shared" si="67"/>
        <v>7.1727562766531142E-3</v>
      </c>
      <c r="AL59" s="348">
        <f t="shared" si="68"/>
        <v>5.9634959999999987E-3</v>
      </c>
      <c r="AM59" s="348">
        <f t="shared" si="69"/>
        <v>7.8985896E-2</v>
      </c>
      <c r="AN59" s="348">
        <f t="shared" si="70"/>
        <v>1.4810672892830362E-2</v>
      </c>
      <c r="AO59" s="348">
        <f t="shared" si="71"/>
        <v>1.452E-5</v>
      </c>
      <c r="AP59" s="348">
        <f t="shared" si="72"/>
        <v>6.6937199999999988E-2</v>
      </c>
      <c r="AQ59" s="348">
        <f t="shared" si="26"/>
        <v>4.7164980923076916E-2</v>
      </c>
      <c r="AR59" s="348">
        <f t="shared" si="73"/>
        <v>2.1419903999999993E-2</v>
      </c>
      <c r="AS59" s="348">
        <f t="shared" si="74"/>
        <v>6.6951719999999992E-2</v>
      </c>
      <c r="AT59" s="348">
        <f t="shared" si="75"/>
        <v>0.46562061359930806</v>
      </c>
      <c r="AU59">
        <f t="shared" si="76"/>
        <v>2.4749999999999996</v>
      </c>
      <c r="AV59" s="526">
        <f t="shared" si="47"/>
        <v>0.84165906630526188</v>
      </c>
      <c r="AW59" s="534">
        <f t="shared" si="77"/>
        <v>5.9451750965657126</v>
      </c>
      <c r="AX59" s="534">
        <f t="shared" si="78"/>
        <v>1.3527907496357821</v>
      </c>
      <c r="AY59" s="9"/>
      <c r="AZ59" s="4">
        <f t="shared" si="48"/>
        <v>84.165906630526194</v>
      </c>
      <c r="BA59" s="348">
        <f t="shared" si="79"/>
        <v>0.20210701962371458</v>
      </c>
      <c r="BB59" s="348">
        <f t="shared" si="80"/>
        <v>0.17557974893012246</v>
      </c>
      <c r="BC59" s="348">
        <f t="shared" si="81"/>
        <v>0.14155178801346935</v>
      </c>
      <c r="BD59" s="348">
        <f t="shared" si="82"/>
        <v>3.3238101956653117E-2</v>
      </c>
      <c r="BE59" s="348">
        <f t="shared" si="83"/>
        <v>1.4810672892830362E-2</v>
      </c>
      <c r="BK59" s="18"/>
      <c r="BL59" s="19"/>
    </row>
    <row r="60" spans="1:64" ht="13" x14ac:dyDescent="0.3">
      <c r="A60" s="23" t="s">
        <v>194</v>
      </c>
      <c r="B60" s="73">
        <f>Ireverse</f>
        <v>0</v>
      </c>
      <c r="C60" s="427" t="s">
        <v>64</v>
      </c>
      <c r="D60" s="76" t="s">
        <v>197</v>
      </c>
      <c r="E60" s="2"/>
      <c r="G60">
        <v>51</v>
      </c>
      <c r="H60" s="531">
        <f t="shared" si="49"/>
        <v>6.6</v>
      </c>
      <c r="I60" s="4">
        <f t="shared" si="50"/>
        <v>1</v>
      </c>
      <c r="J60" s="348">
        <f t="shared" si="84"/>
        <v>0.76500000000000001</v>
      </c>
      <c r="K60" s="348">
        <f t="shared" si="51"/>
        <v>0.76500000000000001</v>
      </c>
      <c r="L60" s="4">
        <f t="shared" si="52"/>
        <v>0.42499999999999999</v>
      </c>
      <c r="M60" s="348">
        <f t="shared" si="53"/>
        <v>0.50278209938891572</v>
      </c>
      <c r="N60" s="4">
        <f t="shared" si="54"/>
        <v>0.59929123694998587</v>
      </c>
      <c r="O60" s="4">
        <f t="shared" si="39"/>
        <v>1.0646456184749931</v>
      </c>
      <c r="P60" s="4">
        <f t="shared" si="40"/>
        <v>0.46535438152500708</v>
      </c>
      <c r="Q60" s="4">
        <f t="shared" si="55"/>
        <v>0</v>
      </c>
      <c r="R60" s="4">
        <f t="shared" si="41"/>
        <v>0.78431764327795594</v>
      </c>
      <c r="S60" s="348">
        <f t="shared" si="56"/>
        <v>2.1530395794498044E-3</v>
      </c>
      <c r="T60" s="348">
        <f t="shared" si="57"/>
        <v>0.2</v>
      </c>
      <c r="U60" s="348">
        <f t="shared" si="58"/>
        <v>0.20218786505752609</v>
      </c>
      <c r="V60" s="4">
        <f t="shared" si="42"/>
        <v>0.17300047848802907</v>
      </c>
      <c r="W60" s="348">
        <f t="shared" si="10"/>
        <v>5.9858331114174018E-5</v>
      </c>
      <c r="X60" s="348">
        <f t="shared" si="43"/>
        <v>5.9858331114174018E-5</v>
      </c>
      <c r="Y60" s="4">
        <f t="shared" si="44"/>
        <v>0.39215275091303059</v>
      </c>
      <c r="Z60" s="348">
        <f t="shared" si="11"/>
        <v>1.5378378004865742E-4</v>
      </c>
      <c r="AA60" s="525">
        <f t="shared" si="45"/>
        <v>1.5378378004865742E-4</v>
      </c>
      <c r="AB60" s="348">
        <f t="shared" si="46"/>
        <v>0.55613712590208253</v>
      </c>
      <c r="AC60" s="348">
        <f t="shared" si="59"/>
        <v>3.7114620336795457E-3</v>
      </c>
      <c r="AD60" s="348">
        <f t="shared" si="60"/>
        <v>7.8312957712483051E-3</v>
      </c>
      <c r="AE60" s="348">
        <f t="shared" si="61"/>
        <v>7.8115712399999981E-2</v>
      </c>
      <c r="AF60" s="348">
        <f t="shared" si="62"/>
        <v>0</v>
      </c>
      <c r="AG60" s="348">
        <f t="shared" si="63"/>
        <v>8.9714409437844256E-2</v>
      </c>
      <c r="AH60" s="348">
        <f t="shared" si="64"/>
        <v>0.5530512297703154</v>
      </c>
      <c r="AI60" s="348">
        <f t="shared" si="65"/>
        <v>1.2540492172768783E-3</v>
      </c>
      <c r="AJ60" s="348">
        <f t="shared" si="66"/>
        <v>6.0827659199999993E-3</v>
      </c>
      <c r="AK60" s="348">
        <f t="shared" si="67"/>
        <v>7.3383133215462158E-3</v>
      </c>
      <c r="AL60" s="348">
        <f t="shared" si="68"/>
        <v>6.0827659199999993E-3</v>
      </c>
      <c r="AM60" s="348">
        <f t="shared" si="69"/>
        <v>8.0565613920000001E-2</v>
      </c>
      <c r="AN60" s="348">
        <f t="shared" si="70"/>
        <v>1.5378854138927173E-2</v>
      </c>
      <c r="AO60" s="348">
        <f t="shared" si="71"/>
        <v>1.452E-5</v>
      </c>
      <c r="AP60" s="348">
        <f t="shared" si="72"/>
        <v>6.6937199999999988E-2</v>
      </c>
      <c r="AQ60" s="348">
        <f t="shared" si="26"/>
        <v>4.7164980923076916E-2</v>
      </c>
      <c r="AR60" s="348">
        <f t="shared" si="73"/>
        <v>2.1419903999999993E-2</v>
      </c>
      <c r="AS60" s="348">
        <f t="shared" si="74"/>
        <v>6.6951719999999992E-2</v>
      </c>
      <c r="AT60" s="348">
        <f t="shared" si="75"/>
        <v>0.46843318390700661</v>
      </c>
      <c r="AU60">
        <f t="shared" si="76"/>
        <v>2.5244999999999997</v>
      </c>
      <c r="AV60" s="526">
        <f t="shared" si="47"/>
        <v>0.84348692231895772</v>
      </c>
      <c r="AW60" s="534">
        <f t="shared" si="77"/>
        <v>6.0012840142518593</v>
      </c>
      <c r="AX60" s="534">
        <f t="shared" si="78"/>
        <v>1.3807461127464511</v>
      </c>
      <c r="AY60" s="9"/>
      <c r="AZ60" s="4">
        <f t="shared" si="48"/>
        <v>84.348692231895768</v>
      </c>
      <c r="BA60" s="348">
        <f t="shared" si="79"/>
        <v>0.20218786505752609</v>
      </c>
      <c r="BB60" s="348">
        <f t="shared" si="80"/>
        <v>0.17761833667939048</v>
      </c>
      <c r="BC60" s="348">
        <f t="shared" si="81"/>
        <v>0.14288771462504427</v>
      </c>
      <c r="BD60" s="348">
        <f t="shared" si="82"/>
        <v>3.3924965915146217E-2</v>
      </c>
      <c r="BE60" s="348">
        <f t="shared" si="83"/>
        <v>1.5378854138927173E-2</v>
      </c>
      <c r="BK60" s="18"/>
      <c r="BL60" s="19"/>
    </row>
    <row r="61" spans="1:64" ht="13" x14ac:dyDescent="0.3">
      <c r="A61" s="24" t="s">
        <v>117</v>
      </c>
      <c r="B61" s="15" t="s">
        <v>111</v>
      </c>
      <c r="C61" s="24" t="s">
        <v>76</v>
      </c>
      <c r="D61" s="24" t="s">
        <v>210</v>
      </c>
      <c r="G61">
        <v>52</v>
      </c>
      <c r="H61" s="531">
        <f t="shared" si="49"/>
        <v>6.6</v>
      </c>
      <c r="I61" s="4">
        <f t="shared" si="50"/>
        <v>1</v>
      </c>
      <c r="J61" s="348">
        <f t="shared" si="84"/>
        <v>0.78</v>
      </c>
      <c r="K61" s="348">
        <f t="shared" si="51"/>
        <v>0.78</v>
      </c>
      <c r="L61" s="4">
        <f t="shared" si="52"/>
        <v>0.43333333333333335</v>
      </c>
      <c r="M61" s="348">
        <f t="shared" si="53"/>
        <v>0.50283654033711866</v>
      </c>
      <c r="N61" s="4">
        <f t="shared" si="54"/>
        <v>0.59931374820918537</v>
      </c>
      <c r="O61" s="4">
        <f t="shared" si="39"/>
        <v>1.0796568741045927</v>
      </c>
      <c r="P61" s="4">
        <f t="shared" si="40"/>
        <v>0.48034312589540734</v>
      </c>
      <c r="Q61" s="4">
        <f t="shared" si="55"/>
        <v>0</v>
      </c>
      <c r="R61" s="4">
        <f t="shared" si="41"/>
        <v>0.79895645317254016</v>
      </c>
      <c r="S61" s="348">
        <f t="shared" si="56"/>
        <v>2.2341599492311588E-3</v>
      </c>
      <c r="T61" s="348">
        <f t="shared" si="57"/>
        <v>0.2</v>
      </c>
      <c r="U61" s="348">
        <f t="shared" si="58"/>
        <v>0.20227031228768169</v>
      </c>
      <c r="V61" s="4">
        <f t="shared" si="42"/>
        <v>0.1730069769288084</v>
      </c>
      <c r="W61" s="348">
        <f t="shared" si="10"/>
        <v>5.9862828132090487E-5</v>
      </c>
      <c r="X61" s="348">
        <f t="shared" si="43"/>
        <v>5.9862828132090487E-5</v>
      </c>
      <c r="Y61" s="4">
        <f t="shared" si="44"/>
        <v>0.39947179816201667</v>
      </c>
      <c r="Z61" s="348">
        <f t="shared" si="11"/>
        <v>1.5957771752679497E-4</v>
      </c>
      <c r="AA61" s="525">
        <f t="shared" si="45"/>
        <v>1.5957771752679497E-4</v>
      </c>
      <c r="AB61" s="348">
        <f t="shared" si="46"/>
        <v>0.56654775600779761</v>
      </c>
      <c r="AC61" s="348">
        <f t="shared" si="59"/>
        <v>3.8517163180496515E-3</v>
      </c>
      <c r="AD61" s="348">
        <f t="shared" si="60"/>
        <v>7.9848505902923896E-3</v>
      </c>
      <c r="AE61" s="348">
        <f t="shared" si="61"/>
        <v>7.8115712399999981E-2</v>
      </c>
      <c r="AF61" s="348">
        <f t="shared" si="62"/>
        <v>0</v>
      </c>
      <c r="AG61" s="348">
        <f t="shared" si="63"/>
        <v>9.0010524069073325E-2</v>
      </c>
      <c r="AH61" s="348">
        <f t="shared" si="64"/>
        <v>0.5633427502227879</v>
      </c>
      <c r="AI61" s="348">
        <f t="shared" si="65"/>
        <v>1.301155722337155E-3</v>
      </c>
      <c r="AJ61" s="348">
        <f t="shared" si="66"/>
        <v>6.2020358399999991E-3</v>
      </c>
      <c r="AK61" s="348">
        <f t="shared" si="67"/>
        <v>7.5047812862851634E-3</v>
      </c>
      <c r="AL61" s="348">
        <f t="shared" si="68"/>
        <v>6.2020358399999991E-3</v>
      </c>
      <c r="AM61" s="348">
        <f t="shared" si="69"/>
        <v>8.2145331839999988E-2</v>
      </c>
      <c r="AN61" s="348">
        <f t="shared" si="70"/>
        <v>1.5958285351651134E-2</v>
      </c>
      <c r="AO61" s="348">
        <f t="shared" si="71"/>
        <v>1.452E-5</v>
      </c>
      <c r="AP61" s="348">
        <f t="shared" si="72"/>
        <v>6.6937199999999988E-2</v>
      </c>
      <c r="AQ61" s="348">
        <f t="shared" si="26"/>
        <v>4.7164980923076916E-2</v>
      </c>
      <c r="AR61" s="348">
        <f t="shared" si="73"/>
        <v>2.1419903999999993E-2</v>
      </c>
      <c r="AS61" s="348">
        <f t="shared" si="74"/>
        <v>6.6951719999999992E-2</v>
      </c>
      <c r="AT61" s="348">
        <f t="shared" si="75"/>
        <v>0.47126243122035016</v>
      </c>
      <c r="AU61">
        <f t="shared" si="76"/>
        <v>2.5739999999999998</v>
      </c>
      <c r="AV61" s="526">
        <f t="shared" si="47"/>
        <v>0.84524734998569628</v>
      </c>
      <c r="AW61" s="534">
        <f t="shared" si="77"/>
        <v>6.0575106095058793</v>
      </c>
      <c r="AX61" s="534">
        <f t="shared" si="78"/>
        <v>1.4087385502948462</v>
      </c>
      <c r="AY61" s="9"/>
      <c r="AZ61" s="4">
        <f t="shared" si="48"/>
        <v>84.524734998569627</v>
      </c>
      <c r="BA61" s="348">
        <f t="shared" si="79"/>
        <v>0.20227031228768169</v>
      </c>
      <c r="BB61" s="348">
        <f t="shared" si="80"/>
        <v>0.17966063719535846</v>
      </c>
      <c r="BC61" s="348">
        <f t="shared" si="81"/>
        <v>0.14422644308347332</v>
      </c>
      <c r="BD61" s="348">
        <f t="shared" si="82"/>
        <v>3.4612740793485162E-2</v>
      </c>
      <c r="BE61" s="348">
        <f t="shared" si="83"/>
        <v>1.5958285351651134E-2</v>
      </c>
      <c r="BK61" s="18"/>
      <c r="BL61" s="19"/>
    </row>
    <row r="62" spans="1:64" ht="15.5" x14ac:dyDescent="0.4">
      <c r="A62" s="433" t="s">
        <v>454</v>
      </c>
      <c r="B62" s="74">
        <v>30</v>
      </c>
      <c r="C62" s="428" t="s">
        <v>202</v>
      </c>
      <c r="D62" s="76" t="s">
        <v>103</v>
      </c>
      <c r="G62">
        <v>53</v>
      </c>
      <c r="H62" s="531">
        <f t="shared" si="49"/>
        <v>6.6</v>
      </c>
      <c r="I62" s="4">
        <f t="shared" si="50"/>
        <v>1</v>
      </c>
      <c r="J62" s="348">
        <f t="shared" si="84"/>
        <v>0.79500000000000004</v>
      </c>
      <c r="K62" s="348">
        <f t="shared" si="51"/>
        <v>0.79500000000000004</v>
      </c>
      <c r="L62" s="4">
        <f t="shared" si="52"/>
        <v>0.44166666666666671</v>
      </c>
      <c r="M62" s="348">
        <f t="shared" si="53"/>
        <v>0.50289097706247343</v>
      </c>
      <c r="N62" s="4">
        <f t="shared" si="54"/>
        <v>0.59933624525898055</v>
      </c>
      <c r="O62" s="4">
        <f t="shared" si="39"/>
        <v>1.0946681226294903</v>
      </c>
      <c r="P62" s="4">
        <f t="shared" si="40"/>
        <v>0.49533187737050977</v>
      </c>
      <c r="Q62" s="4">
        <f t="shared" si="55"/>
        <v>0</v>
      </c>
      <c r="R62" s="4">
        <f t="shared" si="41"/>
        <v>0.81360842008923095</v>
      </c>
      <c r="S62" s="348">
        <f t="shared" si="56"/>
        <v>2.3168553143403307E-3</v>
      </c>
      <c r="T62" s="348">
        <f t="shared" si="57"/>
        <v>0.2</v>
      </c>
      <c r="U62" s="348">
        <f t="shared" si="58"/>
        <v>0.20235436137654317</v>
      </c>
      <c r="V62" s="4">
        <f t="shared" si="42"/>
        <v>0.17301347126768601</v>
      </c>
      <c r="W62" s="348">
        <f t="shared" si="10"/>
        <v>5.9867322480188828E-5</v>
      </c>
      <c r="X62" s="348">
        <f t="shared" si="43"/>
        <v>5.9867322480188828E-5</v>
      </c>
      <c r="Y62" s="4">
        <f t="shared" si="44"/>
        <v>0.40679741005333087</v>
      </c>
      <c r="Z62" s="348">
        <f t="shared" si="11"/>
        <v>1.6548413282609781E-4</v>
      </c>
      <c r="AA62" s="525">
        <f t="shared" si="45"/>
        <v>1.6548413282609781E-4</v>
      </c>
      <c r="AB62" s="348">
        <f t="shared" si="46"/>
        <v>0.57696883618268158</v>
      </c>
      <c r="AC62" s="348">
        <f t="shared" si="59"/>
        <v>3.9947164551119765E-3</v>
      </c>
      <c r="AD62" s="348">
        <f t="shared" si="60"/>
        <v>8.138405409336474E-3</v>
      </c>
      <c r="AE62" s="348">
        <f t="shared" si="61"/>
        <v>7.8115712399999981E-2</v>
      </c>
      <c r="AF62" s="348">
        <f t="shared" si="62"/>
        <v>0</v>
      </c>
      <c r="AG62" s="348">
        <f t="shared" si="63"/>
        <v>9.030944204763397E-2</v>
      </c>
      <c r="AH62" s="348">
        <f t="shared" si="64"/>
        <v>0.57364241763845925</v>
      </c>
      <c r="AI62" s="348">
        <f t="shared" si="65"/>
        <v>1.3491690555877955E-3</v>
      </c>
      <c r="AJ62" s="348">
        <f t="shared" si="66"/>
        <v>6.3213057599999997E-3</v>
      </c>
      <c r="AK62" s="348">
        <f t="shared" si="67"/>
        <v>7.6721599650323696E-3</v>
      </c>
      <c r="AL62" s="348">
        <f t="shared" si="68"/>
        <v>6.3213057599999997E-3</v>
      </c>
      <c r="AM62" s="348">
        <f t="shared" si="69"/>
        <v>8.3725049760000003E-2</v>
      </c>
      <c r="AN62" s="348">
        <f t="shared" si="70"/>
        <v>1.6548966531002362E-2</v>
      </c>
      <c r="AO62" s="348">
        <f t="shared" si="71"/>
        <v>1.452E-5</v>
      </c>
      <c r="AP62" s="348">
        <f t="shared" si="72"/>
        <v>6.6937199999999988E-2</v>
      </c>
      <c r="AQ62" s="348">
        <f t="shared" si="26"/>
        <v>4.7164980923076916E-2</v>
      </c>
      <c r="AR62" s="348">
        <f t="shared" si="73"/>
        <v>2.1419903999999993E-2</v>
      </c>
      <c r="AS62" s="348">
        <f t="shared" si="74"/>
        <v>6.6951719999999992E-2</v>
      </c>
      <c r="AT62" s="348">
        <f t="shared" si="75"/>
        <v>0.47410835689551811</v>
      </c>
      <c r="AU62">
        <f t="shared" si="76"/>
        <v>2.6234999999999999</v>
      </c>
      <c r="AV62" s="526">
        <f t="shared" si="47"/>
        <v>0.84694373779044207</v>
      </c>
      <c r="AW62" s="534">
        <f t="shared" si="77"/>
        <v>6.1138549453478275</v>
      </c>
      <c r="AX62" s="534">
        <f t="shared" si="78"/>
        <v>1.4367680539033776</v>
      </c>
      <c r="AY62" s="9"/>
      <c r="AZ62" s="4">
        <f t="shared" si="48"/>
        <v>84.694373779044213</v>
      </c>
      <c r="BA62" s="348">
        <f t="shared" si="79"/>
        <v>0.20235436137654317</v>
      </c>
      <c r="BB62" s="348">
        <f t="shared" si="80"/>
        <v>0.18170665177266634</v>
      </c>
      <c r="BC62" s="348">
        <f t="shared" si="81"/>
        <v>0.14556797488923398</v>
      </c>
      <c r="BD62" s="348">
        <f t="shared" si="82"/>
        <v>3.530142638583237E-2</v>
      </c>
      <c r="BE62" s="348">
        <f t="shared" si="83"/>
        <v>1.6548966531002362E-2</v>
      </c>
      <c r="BK62" s="18"/>
      <c r="BL62" s="19"/>
    </row>
    <row r="63" spans="1:64" x14ac:dyDescent="0.25">
      <c r="A63" s="23" t="s">
        <v>118</v>
      </c>
      <c r="B63" s="74">
        <v>2</v>
      </c>
      <c r="C63" s="428" t="s">
        <v>202</v>
      </c>
      <c r="D63" s="21" t="s">
        <v>103</v>
      </c>
      <c r="G63">
        <v>54</v>
      </c>
      <c r="H63" s="531">
        <f t="shared" si="49"/>
        <v>6.6</v>
      </c>
      <c r="I63" s="4">
        <f t="shared" si="50"/>
        <v>1</v>
      </c>
      <c r="J63" s="348">
        <f t="shared" si="84"/>
        <v>0.81</v>
      </c>
      <c r="K63" s="348">
        <f t="shared" si="51"/>
        <v>0.81</v>
      </c>
      <c r="L63" s="4">
        <f t="shared" si="52"/>
        <v>0.45000000000000007</v>
      </c>
      <c r="M63" s="348">
        <f t="shared" si="53"/>
        <v>0.50294540956547107</v>
      </c>
      <c r="N63" s="4">
        <f t="shared" si="54"/>
        <v>0.59935872810102431</v>
      </c>
      <c r="O63" s="4">
        <f t="shared" si="39"/>
        <v>1.1096793640505123</v>
      </c>
      <c r="P63" s="4">
        <f t="shared" si="40"/>
        <v>0.51032063594948784</v>
      </c>
      <c r="Q63" s="4">
        <f t="shared" si="55"/>
        <v>0</v>
      </c>
      <c r="R63" s="4">
        <f t="shared" si="41"/>
        <v>0.82827284579372751</v>
      </c>
      <c r="S63" s="348">
        <f t="shared" si="56"/>
        <v>2.4011256747773395E-3</v>
      </c>
      <c r="T63" s="348">
        <f t="shared" si="57"/>
        <v>0.2</v>
      </c>
      <c r="U63" s="348">
        <f t="shared" si="58"/>
        <v>0.20244001238768508</v>
      </c>
      <c r="V63" s="4">
        <f t="shared" si="42"/>
        <v>0.17301996150513907</v>
      </c>
      <c r="W63" s="348">
        <f t="shared" si="10"/>
        <v>5.9871814158479617E-5</v>
      </c>
      <c r="X63" s="348">
        <f t="shared" si="43"/>
        <v>5.9871814158479617E-5</v>
      </c>
      <c r="Y63" s="4">
        <f t="shared" si="44"/>
        <v>0.41412923720521061</v>
      </c>
      <c r="Z63" s="348">
        <f t="shared" si="11"/>
        <v>1.715030251081696E-4</v>
      </c>
      <c r="AA63" s="525">
        <f t="shared" si="45"/>
        <v>1.715030251081696E-4</v>
      </c>
      <c r="AB63" s="348">
        <f t="shared" si="46"/>
        <v>0.58739987254219572</v>
      </c>
      <c r="AC63" s="348">
        <f t="shared" si="59"/>
        <v>4.1404633231510533E-3</v>
      </c>
      <c r="AD63" s="348">
        <f t="shared" si="60"/>
        <v>8.2919602283805603E-3</v>
      </c>
      <c r="AE63" s="348">
        <f t="shared" si="61"/>
        <v>7.8115712399999981E-2</v>
      </c>
      <c r="AF63" s="348">
        <f t="shared" si="62"/>
        <v>0</v>
      </c>
      <c r="AG63" s="348">
        <f t="shared" si="63"/>
        <v>9.0611164881948369E-2</v>
      </c>
      <c r="AH63" s="348">
        <f t="shared" si="64"/>
        <v>0.5839497382623372</v>
      </c>
      <c r="AI63" s="348">
        <f t="shared" si="65"/>
        <v>1.3980889169482736E-3</v>
      </c>
      <c r="AJ63" s="348">
        <f t="shared" si="66"/>
        <v>6.4405756799999995E-3</v>
      </c>
      <c r="AK63" s="348">
        <f t="shared" si="67"/>
        <v>7.8404491527647533E-3</v>
      </c>
      <c r="AL63" s="348">
        <f t="shared" si="68"/>
        <v>6.4405756799999995E-3</v>
      </c>
      <c r="AM63" s="348">
        <f t="shared" si="69"/>
        <v>8.5304767680000004E-2</v>
      </c>
      <c r="AN63" s="348">
        <f t="shared" si="70"/>
        <v>1.7150897676980997E-2</v>
      </c>
      <c r="AO63" s="348">
        <f t="shared" si="71"/>
        <v>1.452E-5</v>
      </c>
      <c r="AP63" s="348">
        <f t="shared" si="72"/>
        <v>6.6937199999999988E-2</v>
      </c>
      <c r="AQ63" s="348">
        <f t="shared" si="26"/>
        <v>4.7164980923076916E-2</v>
      </c>
      <c r="AR63" s="348">
        <f t="shared" si="73"/>
        <v>2.1419903999999993E-2</v>
      </c>
      <c r="AS63" s="348">
        <f t="shared" si="74"/>
        <v>6.6951719999999992E-2</v>
      </c>
      <c r="AT63" s="348">
        <f t="shared" si="75"/>
        <v>0.47697096229864588</v>
      </c>
      <c r="AU63">
        <f t="shared" si="76"/>
        <v>2.673</v>
      </c>
      <c r="AV63" s="526">
        <f t="shared" si="47"/>
        <v>0.84857925104471976</v>
      </c>
      <c r="AW63" s="534">
        <f t="shared" si="77"/>
        <v>6.1703170851314324</v>
      </c>
      <c r="AX63" s="534">
        <f t="shared" si="78"/>
        <v>1.4648346152276057</v>
      </c>
      <c r="AY63" s="9"/>
      <c r="AZ63" s="4">
        <f t="shared" si="48"/>
        <v>84.857925104471974</v>
      </c>
      <c r="BA63" s="348">
        <f t="shared" si="79"/>
        <v>0.20244001238768508</v>
      </c>
      <c r="BB63" s="348">
        <f t="shared" si="80"/>
        <v>0.18375638171471315</v>
      </c>
      <c r="BC63" s="348">
        <f t="shared" si="81"/>
        <v>0.14691231155074838</v>
      </c>
      <c r="BD63" s="348">
        <f t="shared" si="82"/>
        <v>3.5991022487164757E-2</v>
      </c>
      <c r="BE63" s="348">
        <f t="shared" si="83"/>
        <v>1.7150897676980997E-2</v>
      </c>
      <c r="BK63" s="18"/>
      <c r="BL63" s="19"/>
    </row>
    <row r="64" spans="1:64" x14ac:dyDescent="0.25">
      <c r="A64" s="75"/>
      <c r="B64" s="30"/>
      <c r="G64">
        <v>55</v>
      </c>
      <c r="H64" s="531">
        <f t="shared" si="49"/>
        <v>6.6</v>
      </c>
      <c r="I64" s="4">
        <f t="shared" si="50"/>
        <v>1</v>
      </c>
      <c r="J64" s="348">
        <f t="shared" si="84"/>
        <v>0.82499999999999996</v>
      </c>
      <c r="K64" s="348">
        <f t="shared" si="51"/>
        <v>0.82499999999999996</v>
      </c>
      <c r="L64" s="4">
        <f t="shared" si="52"/>
        <v>0.45833333333333331</v>
      </c>
      <c r="M64" s="348">
        <f t="shared" si="53"/>
        <v>0.50299983784660296</v>
      </c>
      <c r="N64" s="4">
        <f t="shared" si="54"/>
        <v>0.59938119673696966</v>
      </c>
      <c r="O64" s="4">
        <f t="shared" si="39"/>
        <v>1.1246905983684847</v>
      </c>
      <c r="P64" s="4">
        <f t="shared" si="40"/>
        <v>0.52530940163151518</v>
      </c>
      <c r="Q64" s="4">
        <f t="shared" si="55"/>
        <v>0</v>
      </c>
      <c r="R64" s="4">
        <f t="shared" si="41"/>
        <v>0.84294908006562697</v>
      </c>
      <c r="S64" s="348">
        <f t="shared" si="56"/>
        <v>2.4869710305422039E-3</v>
      </c>
      <c r="T64" s="348">
        <f t="shared" si="57"/>
        <v>0.2</v>
      </c>
      <c r="U64" s="348">
        <f t="shared" si="58"/>
        <v>0.20252726538589499</v>
      </c>
      <c r="V64" s="4">
        <f t="shared" si="42"/>
        <v>0.17302644764164474</v>
      </c>
      <c r="W64" s="348">
        <f t="shared" si="10"/>
        <v>5.9876303166973656E-5</v>
      </c>
      <c r="X64" s="348">
        <f t="shared" si="43"/>
        <v>5.9876303166973656E-5</v>
      </c>
      <c r="Y64" s="4">
        <f t="shared" si="44"/>
        <v>0.42146695424292768</v>
      </c>
      <c r="Z64" s="348">
        <f t="shared" si="11"/>
        <v>1.7763439351881012E-4</v>
      </c>
      <c r="AA64" s="525">
        <f t="shared" si="45"/>
        <v>1.7763439351881012E-4</v>
      </c>
      <c r="AB64" s="348">
        <f t="shared" si="46"/>
        <v>0.59784040514694647</v>
      </c>
      <c r="AC64" s="348">
        <f t="shared" si="59"/>
        <v>4.2889578003151817E-3</v>
      </c>
      <c r="AD64" s="348">
        <f t="shared" si="60"/>
        <v>8.445515047424643E-3</v>
      </c>
      <c r="AE64" s="348">
        <f t="shared" si="61"/>
        <v>7.8115712399999981E-2</v>
      </c>
      <c r="AF64" s="348">
        <f t="shared" si="62"/>
        <v>0</v>
      </c>
      <c r="AG64" s="348">
        <f t="shared" si="63"/>
        <v>9.0915694088395504E-2</v>
      </c>
      <c r="AH64" s="348">
        <f t="shared" si="64"/>
        <v>0.59426425229625057</v>
      </c>
      <c r="AI64" s="348">
        <f t="shared" si="65"/>
        <v>1.4479150063846091E-3</v>
      </c>
      <c r="AJ64" s="348">
        <f t="shared" si="66"/>
        <v>6.5598455999999984E-3</v>
      </c>
      <c r="AK64" s="348">
        <f t="shared" si="67"/>
        <v>8.0096486452730202E-3</v>
      </c>
      <c r="AL64" s="348">
        <f t="shared" si="68"/>
        <v>6.5598455999999984E-3</v>
      </c>
      <c r="AM64" s="348">
        <f t="shared" si="69"/>
        <v>8.6884485599999992E-2</v>
      </c>
      <c r="AN64" s="348">
        <f t="shared" si="70"/>
        <v>1.7764078789587173E-2</v>
      </c>
      <c r="AO64" s="348">
        <f t="shared" si="71"/>
        <v>1.452E-5</v>
      </c>
      <c r="AP64" s="348">
        <f t="shared" si="72"/>
        <v>6.6937199999999988E-2</v>
      </c>
      <c r="AQ64" s="348">
        <f t="shared" si="26"/>
        <v>4.7164980923076916E-2</v>
      </c>
      <c r="AR64" s="348">
        <f t="shared" si="73"/>
        <v>2.1419903999999993E-2</v>
      </c>
      <c r="AS64" s="348">
        <f t="shared" si="74"/>
        <v>6.6951719999999992E-2</v>
      </c>
      <c r="AT64" s="348">
        <f t="shared" si="75"/>
        <v>0.47985024880583654</v>
      </c>
      <c r="AU64">
        <f t="shared" si="76"/>
        <v>2.7224999999999997</v>
      </c>
      <c r="AV64" s="526">
        <f t="shared" si="47"/>
        <v>0.85015684996206331</v>
      </c>
      <c r="AW64" s="534">
        <f t="shared" si="77"/>
        <v>6.2268970925446103</v>
      </c>
      <c r="AX64" s="534">
        <f t="shared" si="78"/>
        <v>1.4929382259562118</v>
      </c>
      <c r="AY64" s="9"/>
      <c r="AZ64" s="4">
        <f t="shared" si="48"/>
        <v>85.015684996206332</v>
      </c>
      <c r="BA64" s="348">
        <f t="shared" si="79"/>
        <v>0.20252726538589499</v>
      </c>
      <c r="BB64" s="348">
        <f t="shared" si="80"/>
        <v>0.18580982833366852</v>
      </c>
      <c r="BC64" s="348">
        <f t="shared" si="81"/>
        <v>0.14825945458439549</v>
      </c>
      <c r="BD64" s="348">
        <f t="shared" si="82"/>
        <v>3.6681528893273016E-2</v>
      </c>
      <c r="BE64" s="348">
        <f t="shared" si="83"/>
        <v>1.7764078789587173E-2</v>
      </c>
      <c r="BK64" s="18"/>
      <c r="BL64" s="19"/>
    </row>
    <row r="65" spans="1:64" x14ac:dyDescent="0.25">
      <c r="G65">
        <v>56</v>
      </c>
      <c r="H65" s="531">
        <f t="shared" si="49"/>
        <v>6.6</v>
      </c>
      <c r="I65" s="4">
        <f t="shared" si="50"/>
        <v>1</v>
      </c>
      <c r="J65" s="348">
        <f t="shared" si="84"/>
        <v>0.84</v>
      </c>
      <c r="K65" s="348">
        <f t="shared" si="51"/>
        <v>0.84</v>
      </c>
      <c r="L65" s="4">
        <f t="shared" si="52"/>
        <v>0.46666666666666667</v>
      </c>
      <c r="M65" s="348">
        <f t="shared" si="53"/>
        <v>0.50305426190636016</v>
      </c>
      <c r="N65" s="4">
        <f t="shared" si="54"/>
        <v>0.59940365116846939</v>
      </c>
      <c r="O65" s="4">
        <f t="shared" si="39"/>
        <v>1.1397018255842346</v>
      </c>
      <c r="P65" s="4">
        <f t="shared" si="40"/>
        <v>0.54029817441576533</v>
      </c>
      <c r="Q65" s="4">
        <f t="shared" si="55"/>
        <v>0</v>
      </c>
      <c r="R65" s="4">
        <f t="shared" si="41"/>
        <v>0.85763651668573493</v>
      </c>
      <c r="S65" s="348">
        <f t="shared" si="56"/>
        <v>2.5743913816349429E-3</v>
      </c>
      <c r="T65" s="348">
        <f t="shared" si="57"/>
        <v>0.2</v>
      </c>
      <c r="U65" s="348">
        <f t="shared" si="58"/>
        <v>0.20261612043717367</v>
      </c>
      <c r="V65" s="4">
        <f t="shared" si="42"/>
        <v>0.17303292967768019</v>
      </c>
      <c r="W65" s="348">
        <f t="shared" si="10"/>
        <v>5.9880789505682038E-5</v>
      </c>
      <c r="X65" s="348">
        <f t="shared" si="43"/>
        <v>5.9880789505682038E-5</v>
      </c>
      <c r="Y65" s="4">
        <f t="shared" si="44"/>
        <v>0.42881025779244331</v>
      </c>
      <c r="Z65" s="348">
        <f t="shared" si="11"/>
        <v>1.838782371880217E-4</v>
      </c>
      <c r="AA65" s="525">
        <f t="shared" si="45"/>
        <v>1.838782371880217E-4</v>
      </c>
      <c r="AB65" s="348">
        <f t="shared" si="46"/>
        <v>0.60829000516587739</v>
      </c>
      <c r="AC65" s="348">
        <f t="shared" si="59"/>
        <v>4.4402007646164379E-3</v>
      </c>
      <c r="AD65" s="348">
        <f t="shared" si="60"/>
        <v>8.5990698664687275E-3</v>
      </c>
      <c r="AE65" s="348">
        <f t="shared" si="61"/>
        <v>7.8115712399999981E-2</v>
      </c>
      <c r="AF65" s="348">
        <f t="shared" si="62"/>
        <v>0</v>
      </c>
      <c r="AG65" s="348">
        <f t="shared" si="63"/>
        <v>9.1223031191323342E-2</v>
      </c>
      <c r="AH65" s="348">
        <f t="shared" si="64"/>
        <v>0.60458553106085644</v>
      </c>
      <c r="AI65" s="348">
        <f t="shared" si="65"/>
        <v>1.4986470239093648E-3</v>
      </c>
      <c r="AJ65" s="348">
        <f t="shared" si="66"/>
        <v>6.679115519999999E-3</v>
      </c>
      <c r="AK65" s="348">
        <f t="shared" si="67"/>
        <v>8.179758239160945E-3</v>
      </c>
      <c r="AL65" s="348">
        <f t="shared" si="68"/>
        <v>6.679115519999999E-3</v>
      </c>
      <c r="AM65" s="348">
        <f t="shared" si="69"/>
        <v>8.8464203519999979E-2</v>
      </c>
      <c r="AN65" s="348">
        <f t="shared" si="70"/>
        <v>1.8388509868821023E-2</v>
      </c>
      <c r="AO65" s="348">
        <f t="shared" si="71"/>
        <v>1.452E-5</v>
      </c>
      <c r="AP65" s="348">
        <f t="shared" si="72"/>
        <v>6.6937199999999988E-2</v>
      </c>
      <c r="AQ65" s="348">
        <f t="shared" si="26"/>
        <v>4.7164980923076916E-2</v>
      </c>
      <c r="AR65" s="348">
        <f t="shared" si="73"/>
        <v>2.1419903999999993E-2</v>
      </c>
      <c r="AS65" s="348">
        <f t="shared" si="74"/>
        <v>6.6951719999999992E-2</v>
      </c>
      <c r="AT65" s="348">
        <f t="shared" si="75"/>
        <v>0.48274621780317267</v>
      </c>
      <c r="AU65">
        <f t="shared" si="76"/>
        <v>2.7719999999999998</v>
      </c>
      <c r="AV65" s="526">
        <f t="shared" si="47"/>
        <v>0.85167930600469133</v>
      </c>
      <c r="AW65" s="534">
        <f t="shared" si="77"/>
        <v>6.2835950316099805</v>
      </c>
      <c r="AX65" s="534">
        <f t="shared" si="78"/>
        <v>1.5210788778109703</v>
      </c>
      <c r="AY65" s="9"/>
      <c r="AZ65" s="4">
        <f t="shared" si="48"/>
        <v>85.167930600469134</v>
      </c>
      <c r="BA65" s="348">
        <f t="shared" si="79"/>
        <v>0.20261612043717367</v>
      </c>
      <c r="BB65" s="348">
        <f t="shared" si="80"/>
        <v>0.18786699295048426</v>
      </c>
      <c r="BC65" s="348">
        <f t="shared" si="81"/>
        <v>0.14960940551452334</v>
      </c>
      <c r="BD65" s="348">
        <f t="shared" si="82"/>
        <v>3.7372945400760936E-2</v>
      </c>
      <c r="BE65" s="348">
        <f t="shared" si="83"/>
        <v>1.8388509868821023E-2</v>
      </c>
      <c r="BK65" s="18"/>
      <c r="BL65" s="19"/>
    </row>
    <row r="66" spans="1:64" ht="13" x14ac:dyDescent="0.3">
      <c r="A66" s="11" t="s">
        <v>77</v>
      </c>
      <c r="B66" s="31"/>
      <c r="C66" s="31"/>
      <c r="G66">
        <v>57</v>
      </c>
      <c r="H66" s="531">
        <f t="shared" si="49"/>
        <v>6.6</v>
      </c>
      <c r="I66" s="4">
        <f t="shared" si="50"/>
        <v>1</v>
      </c>
      <c r="J66" s="348">
        <f t="shared" si="84"/>
        <v>0.85499999999999998</v>
      </c>
      <c r="K66" s="348">
        <f t="shared" si="51"/>
        <v>0.85499999999999998</v>
      </c>
      <c r="L66" s="4">
        <f t="shared" si="52"/>
        <v>0.47500000000000003</v>
      </c>
      <c r="M66" s="348">
        <f t="shared" si="53"/>
        <v>0.50310868174523393</v>
      </c>
      <c r="N66" s="4">
        <f t="shared" si="54"/>
        <v>0.59942609139717595</v>
      </c>
      <c r="O66" s="4">
        <f t="shared" si="39"/>
        <v>1.1547130456985879</v>
      </c>
      <c r="P66" s="4">
        <f t="shared" si="40"/>
        <v>0.55528695430141206</v>
      </c>
      <c r="Q66" s="4">
        <f t="shared" si="55"/>
        <v>0</v>
      </c>
      <c r="R66" s="4">
        <f t="shared" si="41"/>
        <v>0.87233458981477285</v>
      </c>
      <c r="S66" s="348">
        <f t="shared" si="56"/>
        <v>2.6633867280555783E-3</v>
      </c>
      <c r="T66" s="348">
        <f t="shared" si="57"/>
        <v>0.2</v>
      </c>
      <c r="U66" s="348">
        <f t="shared" si="58"/>
        <v>0.20270657760873501</v>
      </c>
      <c r="V66" s="4">
        <f t="shared" si="42"/>
        <v>0.17303940761372238</v>
      </c>
      <c r="W66" s="348">
        <f t="shared" si="10"/>
        <v>5.988527317461593E-5</v>
      </c>
      <c r="X66" s="348">
        <f t="shared" si="43"/>
        <v>5.988527317461593E-5</v>
      </c>
      <c r="Y66" s="4">
        <f t="shared" si="44"/>
        <v>0.436158864669761</v>
      </c>
      <c r="Z66" s="348">
        <f t="shared" si="11"/>
        <v>1.9023455523001489E-4</v>
      </c>
      <c r="AA66" s="525">
        <f t="shared" si="45"/>
        <v>1.9023455523001489E-4</v>
      </c>
      <c r="AB66" s="348">
        <f t="shared" si="46"/>
        <v>0.61874827231615503</v>
      </c>
      <c r="AC66" s="348">
        <f t="shared" si="59"/>
        <v>4.5941930939307216E-3</v>
      </c>
      <c r="AD66" s="348">
        <f t="shared" si="60"/>
        <v>8.752624685512812E-3</v>
      </c>
      <c r="AE66" s="348">
        <f t="shared" si="61"/>
        <v>7.8115712399999981E-2</v>
      </c>
      <c r="AF66" s="348">
        <f t="shared" si="62"/>
        <v>0</v>
      </c>
      <c r="AG66" s="348">
        <f t="shared" si="63"/>
        <v>9.1533177723060938E-2</v>
      </c>
      <c r="AH66" s="348">
        <f t="shared" si="64"/>
        <v>0.61491317443447346</v>
      </c>
      <c r="AI66" s="348">
        <f t="shared" si="65"/>
        <v>1.5502846695816326E-3</v>
      </c>
      <c r="AJ66" s="348">
        <f t="shared" si="66"/>
        <v>6.7983854399999988E-3</v>
      </c>
      <c r="AK66" s="348">
        <f t="shared" si="67"/>
        <v>8.3507777318446632E-3</v>
      </c>
      <c r="AL66" s="348">
        <f t="shared" si="68"/>
        <v>6.7983854399999988E-3</v>
      </c>
      <c r="AM66" s="348">
        <f t="shared" si="69"/>
        <v>9.004392143999998E-2</v>
      </c>
      <c r="AN66" s="348">
        <f t="shared" si="70"/>
        <v>1.9024190914682701E-2</v>
      </c>
      <c r="AO66" s="348">
        <f t="shared" si="71"/>
        <v>1.452E-5</v>
      </c>
      <c r="AP66" s="348">
        <f t="shared" si="72"/>
        <v>6.6937199999999988E-2</v>
      </c>
      <c r="AQ66" s="348">
        <f t="shared" si="26"/>
        <v>4.7164980923076916E-2</v>
      </c>
      <c r="AR66" s="348">
        <f t="shared" si="73"/>
        <v>2.1419903999999993E-2</v>
      </c>
      <c r="AS66" s="348">
        <f t="shared" si="74"/>
        <v>6.6951719999999992E-2</v>
      </c>
      <c r="AT66" s="348">
        <f t="shared" si="75"/>
        <v>0.48565887068672786</v>
      </c>
      <c r="AU66">
        <f t="shared" si="76"/>
        <v>2.8214999999999999</v>
      </c>
      <c r="AV66" s="526">
        <f t="shared" si="47"/>
        <v>0.85314921669127997</v>
      </c>
      <c r="AW66" s="534">
        <f t="shared" si="77"/>
        <v>6.3404109666853588</v>
      </c>
      <c r="AX66" s="534">
        <f t="shared" si="78"/>
        <v>1.5492565625467176</v>
      </c>
      <c r="AY66" s="9"/>
      <c r="AZ66" s="4">
        <f t="shared" si="48"/>
        <v>85.314921669127997</v>
      </c>
      <c r="BA66" s="348">
        <f t="shared" si="79"/>
        <v>0.20270657760873501</v>
      </c>
      <c r="BB66" s="348">
        <f t="shared" si="80"/>
        <v>0.18992787689490559</v>
      </c>
      <c r="BC66" s="348">
        <f t="shared" si="81"/>
        <v>0.15096216587346092</v>
      </c>
      <c r="BD66" s="348">
        <f t="shared" si="82"/>
        <v>3.8065271807044658E-2</v>
      </c>
      <c r="BE66" s="348">
        <f t="shared" si="83"/>
        <v>1.9024190914682701E-2</v>
      </c>
      <c r="BK66" s="18"/>
      <c r="BL66" s="19"/>
    </row>
    <row r="67" spans="1:64" ht="13" x14ac:dyDescent="0.3">
      <c r="A67" s="14" t="s">
        <v>55</v>
      </c>
      <c r="B67" s="15" t="s">
        <v>7</v>
      </c>
      <c r="C67" s="15" t="s">
        <v>76</v>
      </c>
      <c r="G67">
        <v>58</v>
      </c>
      <c r="H67" s="531">
        <f t="shared" si="49"/>
        <v>6.6</v>
      </c>
      <c r="I67" s="4">
        <f t="shared" si="50"/>
        <v>1</v>
      </c>
      <c r="J67" s="348">
        <f t="shared" si="84"/>
        <v>0.87</v>
      </c>
      <c r="K67" s="348">
        <f t="shared" si="51"/>
        <v>0.87</v>
      </c>
      <c r="L67" s="4">
        <f t="shared" si="52"/>
        <v>0.48333333333333339</v>
      </c>
      <c r="M67" s="348">
        <f t="shared" si="53"/>
        <v>0.50316309736371512</v>
      </c>
      <c r="N67" s="4">
        <f t="shared" si="54"/>
        <v>0.59944851742474137</v>
      </c>
      <c r="O67" s="4">
        <f t="shared" si="39"/>
        <v>1.1697242587123706</v>
      </c>
      <c r="P67" s="4">
        <f t="shared" si="40"/>
        <v>0.57027574128762937</v>
      </c>
      <c r="Q67" s="4">
        <f t="shared" si="55"/>
        <v>0</v>
      </c>
      <c r="R67" s="4">
        <f t="shared" si="41"/>
        <v>0.88704277072015725</v>
      </c>
      <c r="S67" s="348">
        <f t="shared" si="56"/>
        <v>2.7539570698041269E-3</v>
      </c>
      <c r="T67" s="348">
        <f t="shared" si="57"/>
        <v>0.2</v>
      </c>
      <c r="U67" s="348">
        <f t="shared" si="58"/>
        <v>0.20279863696900632</v>
      </c>
      <c r="V67" s="4">
        <f t="shared" si="42"/>
        <v>0.17304588145024827</v>
      </c>
      <c r="W67" s="348">
        <f t="shared" si="10"/>
        <v>5.9889754173786751E-5</v>
      </c>
      <c r="X67" s="348">
        <f t="shared" si="43"/>
        <v>5.9889754173786751E-5</v>
      </c>
      <c r="Y67" s="4">
        <f t="shared" si="44"/>
        <v>0.44351251024431659</v>
      </c>
      <c r="Z67" s="348">
        <f t="shared" si="11"/>
        <v>1.9670334674321501E-4</v>
      </c>
      <c r="AA67" s="525">
        <f t="shared" si="45"/>
        <v>1.9670334674321501E-4</v>
      </c>
      <c r="AB67" s="348">
        <f t="shared" si="46"/>
        <v>0.62921483254911681</v>
      </c>
      <c r="AC67" s="348">
        <f t="shared" si="59"/>
        <v>4.7509356659977573E-3</v>
      </c>
      <c r="AD67" s="348">
        <f t="shared" si="60"/>
        <v>8.9061795045568982E-3</v>
      </c>
      <c r="AE67" s="348">
        <f t="shared" si="61"/>
        <v>7.8115712399999981E-2</v>
      </c>
      <c r="AF67" s="348">
        <f t="shared" si="62"/>
        <v>0</v>
      </c>
      <c r="AG67" s="348">
        <f t="shared" si="63"/>
        <v>9.1846135223930689E-2</v>
      </c>
      <c r="AH67" s="348">
        <f t="shared" si="64"/>
        <v>0.62524680853810077</v>
      </c>
      <c r="AI67" s="348">
        <f t="shared" si="65"/>
        <v>1.6028276435070296E-3</v>
      </c>
      <c r="AJ67" s="348">
        <f t="shared" si="66"/>
        <v>6.9176553599999985E-3</v>
      </c>
      <c r="AK67" s="348">
        <f t="shared" si="67"/>
        <v>8.5227069215519525E-3</v>
      </c>
      <c r="AL67" s="348">
        <f t="shared" si="68"/>
        <v>6.9176553599999985E-3</v>
      </c>
      <c r="AM67" s="348">
        <f t="shared" si="69"/>
        <v>9.1623639359999995E-2</v>
      </c>
      <c r="AN67" s="348">
        <f t="shared" si="70"/>
        <v>1.9671121927172339E-2</v>
      </c>
      <c r="AO67" s="348">
        <f t="shared" si="71"/>
        <v>1.452E-5</v>
      </c>
      <c r="AP67" s="348">
        <f t="shared" si="72"/>
        <v>6.6937199999999988E-2</v>
      </c>
      <c r="AQ67" s="348">
        <f t="shared" si="26"/>
        <v>4.7164980923076916E-2</v>
      </c>
      <c r="AR67" s="348">
        <f t="shared" si="73"/>
        <v>2.1419903999999993E-2</v>
      </c>
      <c r="AS67" s="348">
        <f t="shared" si="74"/>
        <v>6.6951719999999992E-2</v>
      </c>
      <c r="AT67" s="348">
        <f t="shared" si="75"/>
        <v>0.48858820886257831</v>
      </c>
      <c r="AU67">
        <f t="shared" si="76"/>
        <v>2.871</v>
      </c>
      <c r="AV67" s="526">
        <f t="shared" si="47"/>
        <v>0.8545690190322478</v>
      </c>
      <c r="AW67" s="534">
        <f t="shared" si="77"/>
        <v>6.3973449624642891</v>
      </c>
      <c r="AX67" s="534">
        <f t="shared" si="78"/>
        <v>1.5774712719513244</v>
      </c>
      <c r="AY67" s="9"/>
      <c r="AZ67" s="4">
        <f t="shared" si="48"/>
        <v>85.456901903224775</v>
      </c>
      <c r="BA67" s="348">
        <f t="shared" si="79"/>
        <v>0.20279863696900632</v>
      </c>
      <c r="BB67" s="348">
        <f t="shared" si="80"/>
        <v>0.19199248150548265</v>
      </c>
      <c r="BC67" s="348">
        <f t="shared" si="81"/>
        <v>0.15231773720153069</v>
      </c>
      <c r="BD67" s="348">
        <f t="shared" si="82"/>
        <v>3.8758507910351951E-2</v>
      </c>
      <c r="BE67" s="348">
        <f t="shared" si="83"/>
        <v>1.9671121927172339E-2</v>
      </c>
      <c r="BK67" s="18"/>
      <c r="BL67" s="19"/>
    </row>
    <row r="68" spans="1:64" x14ac:dyDescent="0.25">
      <c r="A68" s="32" t="s">
        <v>205</v>
      </c>
      <c r="B68" s="436">
        <f>D1_Vinmin</f>
        <v>0.65999999999999992</v>
      </c>
      <c r="C68" s="21" t="s">
        <v>18</v>
      </c>
      <c r="G68">
        <v>59</v>
      </c>
      <c r="H68" s="531">
        <f t="shared" si="49"/>
        <v>6.6</v>
      </c>
      <c r="I68" s="4">
        <f t="shared" si="50"/>
        <v>1</v>
      </c>
      <c r="J68" s="348">
        <f t="shared" si="84"/>
        <v>0.88500000000000001</v>
      </c>
      <c r="K68" s="348">
        <f t="shared" si="51"/>
        <v>0.88500000000000001</v>
      </c>
      <c r="L68" s="4">
        <f t="shared" si="52"/>
        <v>0.49166666666666664</v>
      </c>
      <c r="M68" s="348">
        <f t="shared" si="53"/>
        <v>0.50321750876229476</v>
      </c>
      <c r="N68" s="4">
        <f t="shared" si="54"/>
        <v>0.59947092925281786</v>
      </c>
      <c r="O68" s="4">
        <f t="shared" si="39"/>
        <v>1.184735464626409</v>
      </c>
      <c r="P68" s="4">
        <f t="shared" si="40"/>
        <v>0.58526453537359102</v>
      </c>
      <c r="Q68" s="4">
        <f t="shared" si="55"/>
        <v>0</v>
      </c>
      <c r="R68" s="4">
        <f t="shared" si="41"/>
        <v>0.90176056481285716</v>
      </c>
      <c r="S68" s="348">
        <f t="shared" si="56"/>
        <v>2.8461024068806109E-3</v>
      </c>
      <c r="T68" s="348">
        <f t="shared" si="57"/>
        <v>0.2</v>
      </c>
      <c r="U68" s="348">
        <f t="shared" si="58"/>
        <v>0.20289229858762844</v>
      </c>
      <c r="V68" s="4">
        <f t="shared" si="42"/>
        <v>0.17305235118773477</v>
      </c>
      <c r="W68" s="348">
        <f t="shared" si="10"/>
        <v>5.9894232503206174E-5</v>
      </c>
      <c r="X68" s="348">
        <f t="shared" si="43"/>
        <v>5.9894232503206174E-5</v>
      </c>
      <c r="Y68" s="4">
        <f t="shared" si="44"/>
        <v>0.45087094695740632</v>
      </c>
      <c r="Z68" s="348">
        <f t="shared" si="11"/>
        <v>2.032846108102683E-4</v>
      </c>
      <c r="AA68" s="525">
        <f t="shared" si="45"/>
        <v>2.032846108102683E-4</v>
      </c>
      <c r="AB68" s="348">
        <f t="shared" si="46"/>
        <v>0.63968933595542676</v>
      </c>
      <c r="AC68" s="348">
        <f t="shared" si="59"/>
        <v>4.9104293584211383E-3</v>
      </c>
      <c r="AD68" s="348">
        <f t="shared" si="60"/>
        <v>9.0597343236009809E-3</v>
      </c>
      <c r="AE68" s="348">
        <f t="shared" si="61"/>
        <v>7.8115712399999981E-2</v>
      </c>
      <c r="AF68" s="348">
        <f t="shared" si="62"/>
        <v>0</v>
      </c>
      <c r="AG68" s="348">
        <f t="shared" si="63"/>
        <v>9.2161905242260672E-2</v>
      </c>
      <c r="AH68" s="348">
        <f t="shared" si="64"/>
        <v>0.63558608363974445</v>
      </c>
      <c r="AI68" s="348">
        <f t="shared" si="65"/>
        <v>1.6562756458376835E-3</v>
      </c>
      <c r="AJ68" s="348">
        <f t="shared" si="66"/>
        <v>7.0369252799999992E-3</v>
      </c>
      <c r="AK68" s="348">
        <f t="shared" si="67"/>
        <v>8.6955456073215184E-3</v>
      </c>
      <c r="AL68" s="348">
        <f t="shared" si="68"/>
        <v>7.0369252799999992E-3</v>
      </c>
      <c r="AM68" s="348">
        <f t="shared" si="69"/>
        <v>9.3203357279999996E-2</v>
      </c>
      <c r="AN68" s="348">
        <f t="shared" si="70"/>
        <v>2.0329302906290078E-2</v>
      </c>
      <c r="AO68" s="348">
        <f t="shared" si="71"/>
        <v>1.452E-5</v>
      </c>
      <c r="AP68" s="348">
        <f t="shared" si="72"/>
        <v>6.6937199999999988E-2</v>
      </c>
      <c r="AQ68" s="348">
        <f t="shared" si="26"/>
        <v>4.7164980923076916E-2</v>
      </c>
      <c r="AR68" s="348">
        <f t="shared" si="73"/>
        <v>2.1419903999999993E-2</v>
      </c>
      <c r="AS68" s="348">
        <f t="shared" si="74"/>
        <v>6.6951719999999992E-2</v>
      </c>
      <c r="AT68" s="348">
        <f t="shared" si="75"/>
        <v>0.49153423374681421</v>
      </c>
      <c r="AU68">
        <f t="shared" si="76"/>
        <v>2.9204999999999997</v>
      </c>
      <c r="AV68" s="526">
        <f t="shared" si="47"/>
        <v>0.85594100173870413</v>
      </c>
      <c r="AW68" s="534">
        <f t="shared" si="77"/>
        <v>6.4543970839765485</v>
      </c>
      <c r="AX68" s="534">
        <f t="shared" si="78"/>
        <v>1.605722997845666</v>
      </c>
      <c r="AY68" s="9"/>
      <c r="AZ68" s="4">
        <f t="shared" si="48"/>
        <v>85.594100173870416</v>
      </c>
      <c r="BA68" s="348">
        <f t="shared" si="79"/>
        <v>0.20289229858762844</v>
      </c>
      <c r="BB68" s="348">
        <f t="shared" si="80"/>
        <v>0.19406080812958221</v>
      </c>
      <c r="BC68" s="348">
        <f t="shared" si="81"/>
        <v>0.15367612104706069</v>
      </c>
      <c r="BD68" s="348">
        <f t="shared" si="82"/>
        <v>3.9452653509721519E-2</v>
      </c>
      <c r="BE68" s="348">
        <f t="shared" si="83"/>
        <v>2.0329302906290078E-2</v>
      </c>
      <c r="BK68" s="18"/>
      <c r="BL68" s="19"/>
    </row>
    <row r="69" spans="1:64" x14ac:dyDescent="0.25">
      <c r="A69" s="23" t="s">
        <v>78</v>
      </c>
      <c r="B69" s="436">
        <f>1-B68</f>
        <v>0.34000000000000008</v>
      </c>
      <c r="C69" s="21" t="s">
        <v>18</v>
      </c>
      <c r="G69">
        <v>60</v>
      </c>
      <c r="H69" s="531">
        <f t="shared" si="49"/>
        <v>6.6</v>
      </c>
      <c r="I69" s="4">
        <f t="shared" si="50"/>
        <v>1</v>
      </c>
      <c r="J69" s="348">
        <f t="shared" si="84"/>
        <v>0.9</v>
      </c>
      <c r="K69" s="348">
        <f t="shared" si="51"/>
        <v>0.9</v>
      </c>
      <c r="L69" s="4">
        <f t="shared" si="52"/>
        <v>0.5</v>
      </c>
      <c r="M69" s="348">
        <f t="shared" si="53"/>
        <v>0.50327191594146381</v>
      </c>
      <c r="N69" s="4">
        <f t="shared" si="54"/>
        <v>0.59949332688305723</v>
      </c>
      <c r="O69" s="4">
        <f t="shared" si="39"/>
        <v>1.1997466634415286</v>
      </c>
      <c r="P69" s="4">
        <f t="shared" si="40"/>
        <v>0.60025333655847146</v>
      </c>
      <c r="Q69" s="4">
        <f t="shared" si="55"/>
        <v>0</v>
      </c>
      <c r="R69" s="4">
        <f t="shared" si="41"/>
        <v>0.91648750896094766</v>
      </c>
      <c r="S69" s="348">
        <f t="shared" si="56"/>
        <v>2.9398227392850511E-3</v>
      </c>
      <c r="T69" s="348">
        <f t="shared" si="57"/>
        <v>0.2</v>
      </c>
      <c r="U69" s="348">
        <f t="shared" si="58"/>
        <v>0.20298756253545577</v>
      </c>
      <c r="V69" s="4">
        <f t="shared" si="42"/>
        <v>0.17305881682665872</v>
      </c>
      <c r="W69" s="348">
        <f t="shared" si="10"/>
        <v>5.9898708162886026E-5</v>
      </c>
      <c r="X69" s="348">
        <f t="shared" si="43"/>
        <v>5.9898708162886026E-5</v>
      </c>
      <c r="Y69" s="4">
        <f t="shared" si="44"/>
        <v>0.4582339429789633</v>
      </c>
      <c r="Z69" s="348">
        <f t="shared" si="11"/>
        <v>2.0997834649804777E-4</v>
      </c>
      <c r="AA69" s="525">
        <f t="shared" si="45"/>
        <v>2.0997834649804777E-4</v>
      </c>
      <c r="AB69" s="348">
        <f t="shared" si="46"/>
        <v>0.65017145486583983</v>
      </c>
      <c r="AC69" s="348">
        <f t="shared" si="59"/>
        <v>5.0726750486683536E-3</v>
      </c>
      <c r="AD69" s="348">
        <f t="shared" si="60"/>
        <v>9.2132891426450654E-3</v>
      </c>
      <c r="AE69" s="348">
        <f t="shared" si="61"/>
        <v>7.8115712399999981E-2</v>
      </c>
      <c r="AF69" s="348">
        <f t="shared" si="62"/>
        <v>0</v>
      </c>
      <c r="AG69" s="348">
        <f t="shared" si="63"/>
        <v>9.2480489334396926E-2</v>
      </c>
      <c r="AH69" s="348">
        <f t="shared" si="64"/>
        <v>0.64593067225444578</v>
      </c>
      <c r="AI69" s="348">
        <f t="shared" si="65"/>
        <v>1.7106283767722289E-3</v>
      </c>
      <c r="AJ69" s="348">
        <f t="shared" si="66"/>
        <v>7.1561951999999989E-3</v>
      </c>
      <c r="AK69" s="348">
        <f t="shared" si="67"/>
        <v>8.8692935890022986E-3</v>
      </c>
      <c r="AL69" s="348">
        <f t="shared" si="68"/>
        <v>7.1561951999999989E-3</v>
      </c>
      <c r="AM69" s="348">
        <f t="shared" si="69"/>
        <v>9.4783075199999983E-2</v>
      </c>
      <c r="AN69" s="348">
        <f t="shared" si="70"/>
        <v>2.0998733852036079E-2</v>
      </c>
      <c r="AO69" s="348">
        <f t="shared" si="71"/>
        <v>1.452E-5</v>
      </c>
      <c r="AP69" s="348">
        <f t="shared" si="72"/>
        <v>6.6937199999999988E-2</v>
      </c>
      <c r="AQ69" s="348">
        <f t="shared" si="26"/>
        <v>4.7164980923076916E-2</v>
      </c>
      <c r="AR69" s="348">
        <f t="shared" si="73"/>
        <v>2.1419903999999993E-2</v>
      </c>
      <c r="AS69" s="348">
        <f t="shared" si="74"/>
        <v>6.6951719999999992E-2</v>
      </c>
      <c r="AT69" s="348">
        <f t="shared" si="75"/>
        <v>0.49449694676555206</v>
      </c>
      <c r="AU69">
        <f t="shared" si="76"/>
        <v>2.9699999999999998</v>
      </c>
      <c r="AV69" s="526">
        <f t="shared" si="47"/>
        <v>0.85726731633369935</v>
      </c>
      <c r="AW69" s="534">
        <f t="shared" si="77"/>
        <v>6.5115673965886707</v>
      </c>
      <c r="AX69" s="534">
        <f t="shared" si="78"/>
        <v>1.6340117320835934</v>
      </c>
      <c r="AY69" s="9"/>
      <c r="AZ69" s="4">
        <f t="shared" si="48"/>
        <v>85.726731633369937</v>
      </c>
      <c r="BA69" s="348">
        <f t="shared" si="79"/>
        <v>0.20298756253545577</v>
      </c>
      <c r="BB69" s="348">
        <f t="shared" si="80"/>
        <v>0.1961328581233992</v>
      </c>
      <c r="BC69" s="348">
        <f t="shared" si="81"/>
        <v>0.15503731896639691</v>
      </c>
      <c r="BD69" s="348">
        <f t="shared" si="82"/>
        <v>4.0147708405002293E-2</v>
      </c>
      <c r="BE69" s="348">
        <f t="shared" si="83"/>
        <v>2.0998733852036079E-2</v>
      </c>
      <c r="BK69" s="18"/>
      <c r="BL69" s="19"/>
    </row>
    <row r="70" spans="1:64" x14ac:dyDescent="0.25">
      <c r="A70" s="33" t="s">
        <v>206</v>
      </c>
      <c r="B70" s="436">
        <f>Iripple_Vinnom</f>
        <v>0.60244970078917248</v>
      </c>
      <c r="C70" s="21" t="s">
        <v>1</v>
      </c>
      <c r="G70">
        <v>61</v>
      </c>
      <c r="H70" s="531">
        <f t="shared" si="49"/>
        <v>6.6</v>
      </c>
      <c r="I70" s="4">
        <f t="shared" si="50"/>
        <v>1</v>
      </c>
      <c r="J70" s="348">
        <f t="shared" si="84"/>
        <v>0.91500000000000004</v>
      </c>
      <c r="K70" s="348">
        <f t="shared" si="51"/>
        <v>0.91500000000000004</v>
      </c>
      <c r="L70" s="4">
        <f t="shared" si="52"/>
        <v>0.5083333333333333</v>
      </c>
      <c r="M70" s="348">
        <f t="shared" si="53"/>
        <v>0.50332631890171275</v>
      </c>
      <c r="N70" s="4">
        <f t="shared" si="54"/>
        <v>0.59951571031711037</v>
      </c>
      <c r="O70" s="4">
        <f t="shared" si="39"/>
        <v>1.2147578551585552</v>
      </c>
      <c r="P70" s="4">
        <f t="shared" si="40"/>
        <v>0.6152421448414449</v>
      </c>
      <c r="Q70" s="4">
        <f t="shared" si="55"/>
        <v>0</v>
      </c>
      <c r="R70" s="4">
        <f t="shared" si="41"/>
        <v>0.93122316905048019</v>
      </c>
      <c r="S70" s="348">
        <f t="shared" si="56"/>
        <v>3.0351180670174669E-3</v>
      </c>
      <c r="T70" s="348">
        <f t="shared" si="57"/>
        <v>0.2</v>
      </c>
      <c r="U70" s="348">
        <f t="shared" si="58"/>
        <v>0.20308442888455647</v>
      </c>
      <c r="V70" s="4">
        <f t="shared" si="42"/>
        <v>0.17306527836749669</v>
      </c>
      <c r="W70" s="348">
        <f t="shared" si="10"/>
        <v>5.9903181152838239E-5</v>
      </c>
      <c r="X70" s="348">
        <f t="shared" si="43"/>
        <v>5.9903181152838239E-5</v>
      </c>
      <c r="Y70" s="4">
        <f t="shared" si="44"/>
        <v>0.46560128098799253</v>
      </c>
      <c r="Z70" s="348">
        <f t="shared" si="11"/>
        <v>2.1678455285765959E-4</v>
      </c>
      <c r="AA70" s="525">
        <f t="shared" si="45"/>
        <v>2.1678455285765959E-4</v>
      </c>
      <c r="AB70" s="348">
        <f t="shared" si="46"/>
        <v>0.66066088212680396</v>
      </c>
      <c r="AC70" s="348">
        <f t="shared" si="59"/>
        <v>5.2376736140708011E-3</v>
      </c>
      <c r="AD70" s="348">
        <f t="shared" si="60"/>
        <v>9.3668439616891499E-3</v>
      </c>
      <c r="AE70" s="348">
        <f t="shared" si="61"/>
        <v>7.8115712399999981E-2</v>
      </c>
      <c r="AF70" s="348">
        <f t="shared" si="62"/>
        <v>0</v>
      </c>
      <c r="AG70" s="348">
        <f t="shared" si="63"/>
        <v>9.2801889064715884E-2</v>
      </c>
      <c r="AH70" s="348">
        <f t="shared" si="64"/>
        <v>0.65628026741922729</v>
      </c>
      <c r="AI70" s="348">
        <f t="shared" si="65"/>
        <v>1.765885536555795E-3</v>
      </c>
      <c r="AJ70" s="348">
        <f t="shared" si="66"/>
        <v>7.2754651199999996E-3</v>
      </c>
      <c r="AK70" s="348">
        <f t="shared" si="67"/>
        <v>9.0439506672527481E-3</v>
      </c>
      <c r="AL70" s="348">
        <f t="shared" si="68"/>
        <v>7.2754651199999996E-3</v>
      </c>
      <c r="AM70" s="348">
        <f t="shared" si="69"/>
        <v>9.6362793119999998E-2</v>
      </c>
      <c r="AN70" s="348">
        <f t="shared" si="70"/>
        <v>2.167941476441048E-2</v>
      </c>
      <c r="AO70" s="348">
        <f t="shared" si="71"/>
        <v>1.452E-5</v>
      </c>
      <c r="AP70" s="348">
        <f t="shared" si="72"/>
        <v>6.6937199999999988E-2</v>
      </c>
      <c r="AQ70" s="348">
        <f t="shared" si="26"/>
        <v>4.7164980923076916E-2</v>
      </c>
      <c r="AR70" s="348">
        <f t="shared" si="73"/>
        <v>2.1419903999999993E-2</v>
      </c>
      <c r="AS70" s="348">
        <f t="shared" si="74"/>
        <v>6.6951719999999992E-2</v>
      </c>
      <c r="AT70" s="348">
        <f t="shared" si="75"/>
        <v>0.49747634935494611</v>
      </c>
      <c r="AU70">
        <f t="shared" si="76"/>
        <v>3.0194999999999999</v>
      </c>
      <c r="AV70" s="526">
        <f t="shared" si="47"/>
        <v>0.85854998727921816</v>
      </c>
      <c r="AW70" s="534">
        <f t="shared" si="77"/>
        <v>6.5688559660044676</v>
      </c>
      <c r="AX70" s="534">
        <f t="shared" si="78"/>
        <v>1.6623374665519071</v>
      </c>
      <c r="AY70" s="9"/>
      <c r="AZ70" s="4">
        <f t="shared" si="48"/>
        <v>85.85499872792181</v>
      </c>
      <c r="BA70" s="348">
        <f t="shared" si="79"/>
        <v>0.20308442888455647</v>
      </c>
      <c r="BB70" s="348">
        <f t="shared" si="80"/>
        <v>0.19820863285196863</v>
      </c>
      <c r="BC70" s="348">
        <f t="shared" si="81"/>
        <v>0.15640133252391589</v>
      </c>
      <c r="BD70" s="348">
        <f t="shared" si="82"/>
        <v>4.084367239685275E-2</v>
      </c>
      <c r="BE70" s="348">
        <f t="shared" si="83"/>
        <v>2.167941476441048E-2</v>
      </c>
      <c r="BK70" s="18"/>
      <c r="BL70" s="19"/>
    </row>
    <row r="71" spans="1:64" ht="13" x14ac:dyDescent="0.3">
      <c r="A71" s="14" t="s">
        <v>59</v>
      </c>
      <c r="B71" s="15" t="s">
        <v>7</v>
      </c>
      <c r="C71" s="17" t="s">
        <v>76</v>
      </c>
      <c r="G71">
        <v>62</v>
      </c>
      <c r="H71" s="531">
        <f t="shared" si="49"/>
        <v>6.6</v>
      </c>
      <c r="I71" s="4">
        <f t="shared" si="50"/>
        <v>1</v>
      </c>
      <c r="J71" s="348">
        <f t="shared" si="84"/>
        <v>0.93</v>
      </c>
      <c r="K71" s="348">
        <f t="shared" si="51"/>
        <v>0.93</v>
      </c>
      <c r="L71" s="4">
        <f t="shared" si="52"/>
        <v>0.51666666666666672</v>
      </c>
      <c r="M71" s="348">
        <f t="shared" si="53"/>
        <v>0.50338071764353254</v>
      </c>
      <c r="N71" s="4">
        <f t="shared" si="54"/>
        <v>0.59953807955662897</v>
      </c>
      <c r="O71" s="4">
        <f t="shared" si="39"/>
        <v>1.2297690397783145</v>
      </c>
      <c r="P71" s="4">
        <f t="shared" si="40"/>
        <v>0.63023096022168557</v>
      </c>
      <c r="Q71" s="4">
        <f t="shared" si="55"/>
        <v>0</v>
      </c>
      <c r="R71" s="4">
        <f t="shared" si="41"/>
        <v>0.94596713776776498</v>
      </c>
      <c r="S71" s="348">
        <f t="shared" si="56"/>
        <v>3.1319883900778815E-3</v>
      </c>
      <c r="T71" s="348">
        <f t="shared" si="57"/>
        <v>0.2</v>
      </c>
      <c r="U71" s="348">
        <f t="shared" si="58"/>
        <v>0.20318289770821266</v>
      </c>
      <c r="V71" s="4">
        <f t="shared" si="42"/>
        <v>0.17307173581072552</v>
      </c>
      <c r="W71" s="348">
        <f t="shared" si="10"/>
        <v>5.990765147307514E-5</v>
      </c>
      <c r="X71" s="348">
        <f t="shared" si="43"/>
        <v>5.990765147307514E-5</v>
      </c>
      <c r="Y71" s="4">
        <f t="shared" si="44"/>
        <v>0.47297275706371195</v>
      </c>
      <c r="Z71" s="348">
        <f t="shared" si="11"/>
        <v>2.2370322892444907E-4</v>
      </c>
      <c r="AA71" s="525">
        <f t="shared" si="45"/>
        <v>2.2370322892444907E-4</v>
      </c>
      <c r="AB71" s="348">
        <f t="shared" si="46"/>
        <v>0.671157329532591</v>
      </c>
      <c r="AC71" s="348">
        <f t="shared" si="59"/>
        <v>5.4054259318238275E-3</v>
      </c>
      <c r="AD71" s="348">
        <f t="shared" si="60"/>
        <v>9.5203987807332344E-3</v>
      </c>
      <c r="AE71" s="348">
        <f t="shared" si="61"/>
        <v>7.8115712399999981E-2</v>
      </c>
      <c r="AF71" s="348">
        <f t="shared" si="62"/>
        <v>0</v>
      </c>
      <c r="AG71" s="348">
        <f t="shared" si="63"/>
        <v>9.3126106005636936E-2</v>
      </c>
      <c r="AH71" s="348">
        <f t="shared" si="64"/>
        <v>0.66663458112463592</v>
      </c>
      <c r="AI71" s="348">
        <f t="shared" si="65"/>
        <v>1.8220468254799968E-3</v>
      </c>
      <c r="AJ71" s="348">
        <f t="shared" si="66"/>
        <v>7.3947350399999993E-3</v>
      </c>
      <c r="AK71" s="348">
        <f t="shared" si="67"/>
        <v>9.2195166435401401E-3</v>
      </c>
      <c r="AL71" s="348">
        <f t="shared" si="68"/>
        <v>7.3947350399999993E-3</v>
      </c>
      <c r="AM71" s="348">
        <f t="shared" si="69"/>
        <v>9.7942511039999999E-2</v>
      </c>
      <c r="AN71" s="348">
        <f t="shared" si="70"/>
        <v>2.2371345643413441E-2</v>
      </c>
      <c r="AO71" s="348">
        <f t="shared" si="71"/>
        <v>1.452E-5</v>
      </c>
      <c r="AP71" s="348">
        <f t="shared" si="72"/>
        <v>6.6937199999999988E-2</v>
      </c>
      <c r="AQ71" s="348">
        <f t="shared" si="26"/>
        <v>4.7164980923076916E-2</v>
      </c>
      <c r="AR71" s="348">
        <f t="shared" si="73"/>
        <v>2.1419903999999993E-2</v>
      </c>
      <c r="AS71" s="348">
        <f t="shared" si="74"/>
        <v>6.6951719999999992E-2</v>
      </c>
      <c r="AT71" s="348">
        <f t="shared" si="75"/>
        <v>0.50047244296120075</v>
      </c>
      <c r="AU71">
        <f t="shared" si="76"/>
        <v>3.069</v>
      </c>
      <c r="AV71" s="526">
        <f t="shared" si="47"/>
        <v>0.85979092121915535</v>
      </c>
      <c r="AW71" s="534">
        <f t="shared" si="77"/>
        <v>6.6262628582655516</v>
      </c>
      <c r="AX71" s="534">
        <f t="shared" si="78"/>
        <v>1.6907001931703241</v>
      </c>
      <c r="AY71" s="9"/>
      <c r="AZ71" s="4">
        <f t="shared" si="48"/>
        <v>85.979092121915528</v>
      </c>
      <c r="BA71" s="348">
        <f t="shared" si="79"/>
        <v>0.20318289770821266</v>
      </c>
      <c r="BB71" s="348">
        <f t="shared" si="80"/>
        <v>0.20028813368917708</v>
      </c>
      <c r="BC71" s="348">
        <f t="shared" si="81"/>
        <v>0.15776816329203694</v>
      </c>
      <c r="BD71" s="348">
        <f t="shared" si="82"/>
        <v>4.1540545286740144E-2</v>
      </c>
      <c r="BE71" s="348">
        <f t="shared" si="83"/>
        <v>2.2371345643413441E-2</v>
      </c>
      <c r="BK71" s="18"/>
      <c r="BL71" s="19"/>
    </row>
    <row r="72" spans="1:64" x14ac:dyDescent="0.25">
      <c r="A72" s="32" t="s">
        <v>88</v>
      </c>
      <c r="B72" s="437">
        <f>(Qgd_Q1+Qgs_Q1/2)*(RdsonDRT+Rgate1)/(VCC-Vsp_Q1)*1000000000</f>
        <v>5.2276699029126217</v>
      </c>
      <c r="C72" s="21" t="s">
        <v>75</v>
      </c>
      <c r="D72" s="113" t="s">
        <v>492</v>
      </c>
      <c r="G72">
        <v>63</v>
      </c>
      <c r="H72" s="531">
        <f t="shared" si="49"/>
        <v>6.6</v>
      </c>
      <c r="I72" s="4">
        <f t="shared" si="50"/>
        <v>1</v>
      </c>
      <c r="J72" s="348">
        <f t="shared" si="84"/>
        <v>0.94499999999999995</v>
      </c>
      <c r="K72" s="348">
        <f t="shared" si="51"/>
        <v>0.94499999999999995</v>
      </c>
      <c r="L72" s="4">
        <f t="shared" si="52"/>
        <v>0.52500000000000002</v>
      </c>
      <c r="M72" s="348">
        <f t="shared" si="53"/>
        <v>0.50343511216741377</v>
      </c>
      <c r="N72" s="4">
        <f t="shared" si="54"/>
        <v>0.59956043460326347</v>
      </c>
      <c r="O72" s="4">
        <f t="shared" si="39"/>
        <v>1.2447802173016318</v>
      </c>
      <c r="P72" s="4">
        <f t="shared" si="40"/>
        <v>0.64521978269836822</v>
      </c>
      <c r="Q72" s="4">
        <f t="shared" si="55"/>
        <v>0</v>
      </c>
      <c r="R72" s="4">
        <f t="shared" si="41"/>
        <v>0.96071903258018387</v>
      </c>
      <c r="S72" s="348">
        <f t="shared" si="56"/>
        <v>3.2304337084663156E-3</v>
      </c>
      <c r="T72" s="348">
        <f t="shared" si="57"/>
        <v>0.2</v>
      </c>
      <c r="U72" s="348">
        <f t="shared" si="58"/>
        <v>0.20328296908092042</v>
      </c>
      <c r="V72" s="4">
        <f t="shared" si="42"/>
        <v>0.1730781891568216</v>
      </c>
      <c r="W72" s="348">
        <f t="shared" si="10"/>
        <v>5.991211912360904E-5</v>
      </c>
      <c r="X72" s="348">
        <f t="shared" si="43"/>
        <v>5.991211912360904E-5</v>
      </c>
      <c r="Y72" s="4">
        <f t="shared" si="44"/>
        <v>0.48034817967595844</v>
      </c>
      <c r="Z72" s="348">
        <f t="shared" si="11"/>
        <v>2.3073437371800686E-4</v>
      </c>
      <c r="AA72" s="525">
        <f t="shared" si="45"/>
        <v>2.3073437371800686E-4</v>
      </c>
      <c r="AB72" s="348">
        <f t="shared" si="46"/>
        <v>0.68166052639777763</v>
      </c>
      <c r="AC72" s="348">
        <f t="shared" si="59"/>
        <v>5.5759328789867432E-3</v>
      </c>
      <c r="AD72" s="348">
        <f t="shared" si="60"/>
        <v>9.6739535997773188E-3</v>
      </c>
      <c r="AE72" s="348">
        <f t="shared" si="61"/>
        <v>7.8115712399999981E-2</v>
      </c>
      <c r="AF72" s="348">
        <f t="shared" si="62"/>
        <v>0</v>
      </c>
      <c r="AG72" s="348">
        <f t="shared" si="63"/>
        <v>9.3453141737634846E-2</v>
      </c>
      <c r="AH72" s="348">
        <f t="shared" si="64"/>
        <v>0.67699334288669999</v>
      </c>
      <c r="AI72" s="348">
        <f t="shared" si="65"/>
        <v>1.8791119438829264E-3</v>
      </c>
      <c r="AJ72" s="348">
        <f t="shared" si="66"/>
        <v>7.5140049599999982E-3</v>
      </c>
      <c r="AK72" s="348">
        <f t="shared" si="67"/>
        <v>9.3959913201398515E-3</v>
      </c>
      <c r="AL72" s="348">
        <f t="shared" si="68"/>
        <v>7.5140049599999982E-3</v>
      </c>
      <c r="AM72" s="348">
        <f t="shared" si="69"/>
        <v>9.952222896E-2</v>
      </c>
      <c r="AN72" s="348">
        <f t="shared" si="70"/>
        <v>2.3074526489045111E-2</v>
      </c>
      <c r="AO72" s="348">
        <f t="shared" si="71"/>
        <v>1.452E-5</v>
      </c>
      <c r="AP72" s="348">
        <f t="shared" si="72"/>
        <v>6.6937199999999988E-2</v>
      </c>
      <c r="AQ72" s="348">
        <f t="shared" si="26"/>
        <v>4.7164980923076916E-2</v>
      </c>
      <c r="AR72" s="348">
        <f t="shared" si="73"/>
        <v>2.1419903999999993E-2</v>
      </c>
      <c r="AS72" s="348">
        <f t="shared" si="74"/>
        <v>6.6951719999999992E-2</v>
      </c>
      <c r="AT72" s="348">
        <f t="shared" si="75"/>
        <v>0.50348522904058179</v>
      </c>
      <c r="AU72">
        <f t="shared" si="76"/>
        <v>3.1184999999999996</v>
      </c>
      <c r="AV72" s="526">
        <f t="shared" si="47"/>
        <v>0.86099191542701325</v>
      </c>
      <c r="AW72" s="534">
        <f t="shared" si="77"/>
        <v>6.6837881397518633</v>
      </c>
      <c r="AX72" s="534">
        <f t="shared" si="78"/>
        <v>1.7190999038914521</v>
      </c>
      <c r="AY72" s="9"/>
      <c r="AZ72" s="4">
        <f t="shared" si="48"/>
        <v>86.09919154270132</v>
      </c>
      <c r="BA72" s="348">
        <f t="shared" si="79"/>
        <v>0.20328296908092042</v>
      </c>
      <c r="BB72" s="348">
        <f t="shared" si="80"/>
        <v>0.2023713620177747</v>
      </c>
      <c r="BC72" s="348">
        <f t="shared" si="81"/>
        <v>0.15913781285123485</v>
      </c>
      <c r="BD72" s="348">
        <f t="shared" si="82"/>
        <v>4.2238326876939854E-2</v>
      </c>
      <c r="BE72" s="348">
        <f t="shared" si="83"/>
        <v>2.3074526489045111E-2</v>
      </c>
      <c r="BK72" s="18"/>
      <c r="BL72" s="19"/>
    </row>
    <row r="73" spans="1:64" x14ac:dyDescent="0.25">
      <c r="A73" s="33" t="s">
        <v>89</v>
      </c>
      <c r="B73" s="437">
        <f>(Qgd_Q1+Qgs_Q1/2)*(RdsonDRT2+Rgate1)/(Vsp_Q1)*1000000000</f>
        <v>2.4190406976744185</v>
      </c>
      <c r="C73" s="21" t="s">
        <v>75</v>
      </c>
      <c r="D73" s="113" t="s">
        <v>493</v>
      </c>
      <c r="G73">
        <v>64</v>
      </c>
      <c r="H73" s="531">
        <f t="shared" ref="H73:H109" si="85">Vin</f>
        <v>6.6</v>
      </c>
      <c r="I73" s="4">
        <f t="shared" ref="I73:I109" si="86">MODE</f>
        <v>1</v>
      </c>
      <c r="J73" s="348">
        <f t="shared" si="84"/>
        <v>0.96</v>
      </c>
      <c r="K73" s="348">
        <f t="shared" ref="K73:K109" si="87">Iout*G73/100/Number_of_Phases</f>
        <v>0.96</v>
      </c>
      <c r="L73" s="4">
        <f t="shared" ref="L73:L104" si="88">Vout*K73/(Vin*Efficiency)</f>
        <v>0.53333333333333333</v>
      </c>
      <c r="M73" s="348">
        <f t="shared" ref="M73:M109" si="89">(Vout+(Rdson2+Rs+Rdcr)*K73)/(Vin+(Rs+Rdson2-Rdson1)*K73)</f>
        <v>0.50348950247384683</v>
      </c>
      <c r="N73" s="4">
        <f t="shared" ref="N73:N104" si="90">(Vin-(Rdson1+Rdcr)*K73-Vout)*M73/(Fsw*Lf)</f>
        <v>0.59958277545866479</v>
      </c>
      <c r="O73" s="4">
        <f t="shared" si="39"/>
        <v>1.2597913877293323</v>
      </c>
      <c r="P73" s="4">
        <f t="shared" si="40"/>
        <v>0.66020861227066763</v>
      </c>
      <c r="Q73" s="4">
        <f t="shared" ref="Q73:Q104" si="91">IF(MIN(Vin, -P73/(Coss_Q1+Coss_Q2)*0.00000002)&lt;0, 0, MIN(Vin, -P73/(Coss_Q1+Coss_Q2)*0.00000002))</f>
        <v>0</v>
      </c>
      <c r="R73" s="4">
        <f t="shared" si="41"/>
        <v>0.97547849389529151</v>
      </c>
      <c r="S73" s="348">
        <f t="shared" ref="S73:S104" si="92">R73^2*Rdcr</f>
        <v>3.3304540221827921E-3</v>
      </c>
      <c r="T73" s="348">
        <f t="shared" ref="T73:T109" si="93">Core_Loss_Ch1</f>
        <v>0.2</v>
      </c>
      <c r="U73" s="348">
        <f t="shared" ref="U73:U104" si="94">(T73+S73*(1+Ltc*(Ta-25)))/(1-S73*Ltc*ThetaCa)</f>
        <v>0.20338464307839005</v>
      </c>
      <c r="V73" s="4">
        <f t="shared" si="42"/>
        <v>0.17308463840626154</v>
      </c>
      <c r="W73" s="348">
        <f t="shared" si="10"/>
        <v>5.9916584104452618E-5</v>
      </c>
      <c r="X73" s="348">
        <f t="shared" si="43"/>
        <v>5.9916584104452618E-5</v>
      </c>
      <c r="Y73" s="4">
        <f t="shared" si="44"/>
        <v>0.48772736876473877</v>
      </c>
      <c r="Z73" s="348">
        <f t="shared" si="11"/>
        <v>2.3787798624217549E-4</v>
      </c>
      <c r="AA73" s="525">
        <f t="shared" si="45"/>
        <v>2.3787798624217549E-4</v>
      </c>
      <c r="AB73" s="348">
        <f t="shared" si="46"/>
        <v>0.69217021825576897</v>
      </c>
      <c r="AC73" s="348">
        <f t="shared" ref="AC73:AC104" si="95">Rdson1*AB73^2</f>
        <v>5.7491953324828662E-3</v>
      </c>
      <c r="AD73" s="348">
        <f t="shared" ref="AD73:AD109" si="96">(Vin*K73/2)*Fsw*(Tr_buck+Tf_buck)</f>
        <v>9.8275084188214033E-3</v>
      </c>
      <c r="AE73" s="348">
        <f t="shared" ref="AE73:AE109" si="97">(0.5*Coss_Q1*(Vin-Q73)^2-0.5*Coss_Q2*(Vin-Q73)^2+(Qoss_Q2*(Vin-Q73)/Vin)*Vin)*Fsw</f>
        <v>7.8115712399999981E-2</v>
      </c>
      <c r="AF73" s="348">
        <f t="shared" ref="AF73:AF109" si="98">IF(K73&gt;N73/2,0,ABS(K73-N73/2)*Vsd_Q1*Deadtime*Fsw)</f>
        <v>0</v>
      </c>
      <c r="AG73" s="348">
        <f t="shared" ref="AG73:AG104" si="99">(AF73+AE73+AD73+AC73*(1+RdsonTopTc*Ta-RdsonTopTc*25))/(1-AC73*RdsonTopTc*ThetaJA_Q1)</f>
        <v>9.3782997849252453E-2</v>
      </c>
      <c r="AH73" s="348">
        <f t="shared" ref="AH73:AH109" si="100">SQRT((1-M73))*SQRT(K73^2+(N73^2)/12)</f>
        <v>0.68735629844498214</v>
      </c>
      <c r="AI73" s="348">
        <f t="shared" ref="AI73:AI104" si="101">Rdson2*AH73^2</f>
        <v>1.937080592149148E-3</v>
      </c>
      <c r="AJ73" s="348">
        <f t="shared" ref="AJ73:AJ109" si="102">IF(K73&lt;N73/2,Deadtime*Fsw*IF(VfdSky_Q2&gt;0,0,Vsd_Q2)*(K73+N73/2),2*Deadtime*Fsw*IF(VfdSky_Q2&gt;0,0,Vsd_Q2)*K73)</f>
        <v>7.6332748799999989E-3</v>
      </c>
      <c r="AK73" s="348">
        <f t="shared" ref="AK73:AK104" si="103">(AJ73+AI73*(1+RdsonBotTc*Ta-RdsonBotTc*25))/(1-AI73*RdsonBotTc*ThetaJA_Q2)</f>
        <v>9.573374500134688E-3</v>
      </c>
      <c r="AL73" s="348">
        <f t="shared" ref="AL73:AL109" si="104">2*Deadtime*Fsw*IF(VfdSky_Q2&gt;0,VfdSky_Q2,Vsd_Q2)*K73</f>
        <v>7.6332748799999989E-3</v>
      </c>
      <c r="AM73" s="348">
        <f t="shared" ref="AM73:AM109" si="105">IF(QrrSky_Q2&gt;0,QrrSky_Q2,Qrr_Q2*K73/(Iout/Number_of_Phases))*Fsw*Vin</f>
        <v>0.10110194687999997</v>
      </c>
      <c r="AN73" s="348">
        <f t="shared" ref="AN73:AN109" si="106">Rs*R73^2</f>
        <v>2.378895730130566E-2</v>
      </c>
      <c r="AO73" s="348">
        <f t="shared" ref="AO73:AO109" si="107">Iq*Vin</f>
        <v>1.452E-5</v>
      </c>
      <c r="AP73" s="348">
        <f t="shared" ref="AP73:AP109" si="108">IF(Ext_VCC=1,  (Qg_Q1+Qg_Q2)*Fsw*VCC, (Qg_Q1+Qg_Q2)*Fsw*Vin)</f>
        <v>6.6937199999999988E-2</v>
      </c>
      <c r="AQ73" s="348">
        <f t="shared" ref="AQ73:AQ109" si="109">(Vin-VCC)*Fsw*(Qg_Q1+Qg_Q2)+(RdsonDRT+RdsonDRT2)*Fsw*Qg_Q1*VCC/(RdsonDRT+2*Rgate1+RdsonDRT2)+(RdsonDRB+RdsonDRB2)*Fsw*Qg_Q2*VCC/(RdsonDRB+2*Rgate2+RdsonDRB2)</f>
        <v>4.7164980923076916E-2</v>
      </c>
      <c r="AR73" s="348">
        <f t="shared" ref="AR73:AR109" si="110">(Qg_Q1+Qg_Q2)*Fsw*(Vin-VCC)</f>
        <v>2.1419903999999993E-2</v>
      </c>
      <c r="AS73" s="348">
        <f t="shared" si="74"/>
        <v>6.6951719999999992E-2</v>
      </c>
      <c r="AT73" s="348">
        <f t="shared" ref="AT73:AT104" si="111" xml:space="preserve"> SUM(U73,X73,AA73,AG73,AK73,AL73,AM73,AS73,AN73)</f>
        <v>0.50651470905942941</v>
      </c>
      <c r="AU73">
        <f t="shared" ref="AU73:AU109" si="112">Vout*K73</f>
        <v>3.1679999999999997</v>
      </c>
      <c r="AV73" s="526">
        <f t="shared" si="47"/>
        <v>0.86215466553702191</v>
      </c>
      <c r="AW73" s="534">
        <f t="shared" ref="AW73:AW109" si="113">ThetaJA_Q1*BC73</f>
        <v>6.7414318771822028</v>
      </c>
      <c r="AX73" s="534">
        <f t="shared" ref="AX73:AX109" si="114">ThetaJA_Q2*BD73</f>
        <v>1.7475365907007616</v>
      </c>
      <c r="AY73" s="9"/>
      <c r="AZ73" s="4">
        <f t="shared" si="48"/>
        <v>86.215466553702186</v>
      </c>
      <c r="BA73" s="348">
        <f t="shared" ref="BA73:BA109" si="115">U73</f>
        <v>0.20338464307839005</v>
      </c>
      <c r="BB73" s="348">
        <f t="shared" si="80"/>
        <v>0.20445831922938712</v>
      </c>
      <c r="BC73" s="348">
        <f t="shared" si="81"/>
        <v>0.16051028279005244</v>
      </c>
      <c r="BD73" s="348">
        <f t="shared" si="82"/>
        <v>4.2937016970534682E-2</v>
      </c>
      <c r="BE73" s="348">
        <f t="shared" si="83"/>
        <v>2.378895730130566E-2</v>
      </c>
      <c r="BK73" s="18"/>
      <c r="BL73" s="19"/>
    </row>
    <row r="74" spans="1:64" ht="13" x14ac:dyDescent="0.3">
      <c r="A74" s="14" t="s">
        <v>114</v>
      </c>
      <c r="B74" s="15" t="s">
        <v>7</v>
      </c>
      <c r="C74" s="17" t="s">
        <v>76</v>
      </c>
      <c r="G74">
        <v>65</v>
      </c>
      <c r="H74" s="531">
        <f t="shared" si="85"/>
        <v>6.6</v>
      </c>
      <c r="I74" s="4">
        <f t="shared" si="86"/>
        <v>1</v>
      </c>
      <c r="J74" s="348">
        <f t="shared" ref="J74:J109" si="116">Iout*G74/100</f>
        <v>0.97499999999999998</v>
      </c>
      <c r="K74" s="348">
        <f t="shared" si="87"/>
        <v>0.97499999999999998</v>
      </c>
      <c r="L74" s="4">
        <f t="shared" si="88"/>
        <v>0.54166666666666663</v>
      </c>
      <c r="M74" s="348">
        <f t="shared" si="89"/>
        <v>0.50354388856332244</v>
      </c>
      <c r="N74" s="4">
        <f t="shared" si="90"/>
        <v>0.59960510212448337</v>
      </c>
      <c r="O74" s="4">
        <f t="shared" ref="O74:O109" si="117">K74+N74/2</f>
        <v>1.2748025510622416</v>
      </c>
      <c r="P74" s="4">
        <f t="shared" ref="P74:P109" si="118">K74-N74/2</f>
        <v>0.67519744893775835</v>
      </c>
      <c r="Q74" s="4">
        <f t="shared" si="91"/>
        <v>0</v>
      </c>
      <c r="R74" s="4">
        <f t="shared" ref="R74:R109" si="119">SQRT(K74^2+(N74^2)/12)</f>
        <v>0.99024518338026235</v>
      </c>
      <c r="S74" s="348">
        <f t="shared" si="92"/>
        <v>3.4320493312273333E-3</v>
      </c>
      <c r="T74" s="348">
        <f t="shared" si="93"/>
        <v>0.2</v>
      </c>
      <c r="U74" s="348">
        <f t="shared" si="94"/>
        <v>0.20348791977754618</v>
      </c>
      <c r="V74" s="4">
        <f t="shared" ref="V74:V109" si="120">N74/SQRT(12)</f>
        <v>0.17309108355952177</v>
      </c>
      <c r="W74" s="348">
        <f t="shared" ref="W74:W109" si="121">RCoutEsr*V74^2</f>
        <v>5.9921046415618701E-5</v>
      </c>
      <c r="X74" s="348">
        <f t="shared" ref="X74:X109" si="122">W74</f>
        <v>5.9921046415618701E-5</v>
      </c>
      <c r="Y74" s="4">
        <f t="shared" ref="Y74:Y109" si="123">SQRT(M74*(1-M74))*SQRT(K74^2+(N74^2)/12)</f>
        <v>0.49511015489995208</v>
      </c>
      <c r="Z74" s="348">
        <f t="shared" ref="Z74:Z109" si="124">RCinEsr*Y74^2</f>
        <v>2.4513406548505454E-4</v>
      </c>
      <c r="AA74" s="525">
        <f t="shared" ref="AA74:AA109" si="125">Z74</f>
        <v>2.4513406548505454E-4</v>
      </c>
      <c r="AB74" s="348">
        <f t="shared" ref="AB74:AB109" si="126">SQRT(M74)*SQRT(K74^2+(N74^2)/12)</f>
        <v>0.70268616567067854</v>
      </c>
      <c r="AC74" s="348">
        <f t="shared" si="95"/>
        <v>5.9252141690995233E-3</v>
      </c>
      <c r="AD74" s="348">
        <f t="shared" si="96"/>
        <v>9.9810632378654878E-3</v>
      </c>
      <c r="AE74" s="348">
        <f t="shared" si="97"/>
        <v>7.8115712399999981E-2</v>
      </c>
      <c r="AF74" s="348">
        <f t="shared" si="98"/>
        <v>0</v>
      </c>
      <c r="AG74" s="348">
        <f t="shared" si="99"/>
        <v>9.4115675937113286E-2</v>
      </c>
      <c r="AH74" s="348">
        <f t="shared" si="100"/>
        <v>0.69772320857403691</v>
      </c>
      <c r="AI74" s="348">
        <f t="shared" si="101"/>
        <v>1.9959524707096805E-3</v>
      </c>
      <c r="AJ74" s="348">
        <f t="shared" si="102"/>
        <v>7.7525447999999986E-3</v>
      </c>
      <c r="AK74" s="348">
        <f t="shared" si="103"/>
        <v>9.751665987414157E-3</v>
      </c>
      <c r="AL74" s="348">
        <f t="shared" si="104"/>
        <v>7.7525447999999986E-3</v>
      </c>
      <c r="AM74" s="348">
        <f t="shared" si="105"/>
        <v>0.1026816648</v>
      </c>
      <c r="AN74" s="348">
        <f t="shared" si="106"/>
        <v>2.4514638080195238E-2</v>
      </c>
      <c r="AO74" s="348">
        <f t="shared" si="107"/>
        <v>1.452E-5</v>
      </c>
      <c r="AP74" s="348">
        <f t="shared" si="108"/>
        <v>6.6937199999999988E-2</v>
      </c>
      <c r="AQ74" s="348">
        <f t="shared" si="109"/>
        <v>4.7164980923076916E-2</v>
      </c>
      <c r="AR74" s="348">
        <f t="shared" si="110"/>
        <v>2.1419903999999993E-2</v>
      </c>
      <c r="AS74" s="348">
        <f t="shared" si="74"/>
        <v>6.6951719999999992E-2</v>
      </c>
      <c r="AT74" s="348">
        <f t="shared" si="111"/>
        <v>0.50956088449416959</v>
      </c>
      <c r="AU74">
        <f t="shared" si="112"/>
        <v>3.2174999999999998</v>
      </c>
      <c r="AV74" s="526">
        <f t="shared" ref="AV74:AV109" si="127">AU74/(AU74+AT74)</f>
        <v>0.86328077262861069</v>
      </c>
      <c r="AW74" s="534">
        <f t="shared" si="113"/>
        <v>6.7991941376147578</v>
      </c>
      <c r="AX74" s="534">
        <f t="shared" si="114"/>
        <v>1.7760102456165565</v>
      </c>
      <c r="AY74" s="9"/>
      <c r="AZ74" s="4">
        <f t="shared" ref="AZ74:AZ109" si="128">AV74*100</f>
        <v>86.328077262861072</v>
      </c>
      <c r="BA74" s="348">
        <f t="shared" si="115"/>
        <v>0.20348791977754618</v>
      </c>
      <c r="BB74" s="348">
        <f t="shared" ref="BB74:BB109" si="129">AG74+AK74+AM74</f>
        <v>0.20654900672452745</v>
      </c>
      <c r="BC74" s="348">
        <f t="shared" ref="BC74:BC109" si="130">AG74+AM74*0.66</f>
        <v>0.16188557470511328</v>
      </c>
      <c r="BD74" s="348">
        <f t="shared" ref="BD74:BD109" si="131">AK74+AM74*0.33</f>
        <v>4.363661537141416E-2</v>
      </c>
      <c r="BE74" s="348">
        <f t="shared" ref="BE74:BE109" si="132">AN74</f>
        <v>2.4514638080195238E-2</v>
      </c>
      <c r="BK74" s="18"/>
      <c r="BL74" s="19"/>
    </row>
    <row r="75" spans="1:64" ht="13" x14ac:dyDescent="0.3">
      <c r="A75" s="34" t="s">
        <v>115</v>
      </c>
      <c r="B75" s="566">
        <f>AS9</f>
        <v>6.6951719999999992E-2</v>
      </c>
      <c r="C75" s="78" t="s">
        <v>116</v>
      </c>
      <c r="G75">
        <v>66</v>
      </c>
      <c r="H75" s="531">
        <f t="shared" si="85"/>
        <v>6.6</v>
      </c>
      <c r="I75" s="4">
        <f t="shared" si="86"/>
        <v>1</v>
      </c>
      <c r="J75" s="348">
        <f t="shared" si="116"/>
        <v>0.99</v>
      </c>
      <c r="K75" s="348">
        <f t="shared" si="87"/>
        <v>0.99</v>
      </c>
      <c r="L75" s="4">
        <f t="shared" si="88"/>
        <v>0.55000000000000004</v>
      </c>
      <c r="M75" s="348">
        <f t="shared" si="89"/>
        <v>0.50359827043633076</v>
      </c>
      <c r="N75" s="4">
        <f t="shared" si="90"/>
        <v>0.59962741460236901</v>
      </c>
      <c r="O75" s="4">
        <f t="shared" si="117"/>
        <v>1.2898137073011844</v>
      </c>
      <c r="P75" s="4">
        <f t="shared" si="118"/>
        <v>0.69018629269881548</v>
      </c>
      <c r="Q75" s="4">
        <f t="shared" si="91"/>
        <v>0</v>
      </c>
      <c r="R75" s="4">
        <f t="shared" si="119"/>
        <v>1.0050187824257615</v>
      </c>
      <c r="S75" s="348">
        <f t="shared" si="92"/>
        <v>3.5352196355999607E-3</v>
      </c>
      <c r="T75" s="348">
        <f t="shared" si="93"/>
        <v>0.2</v>
      </c>
      <c r="U75" s="348">
        <f t="shared" si="94"/>
        <v>0.20359279925652787</v>
      </c>
      <c r="V75" s="4">
        <f t="shared" si="120"/>
        <v>0.17309752461707856</v>
      </c>
      <c r="W75" s="348">
        <f t="shared" si="121"/>
        <v>5.992550605712024E-5</v>
      </c>
      <c r="X75" s="348">
        <f t="shared" si="122"/>
        <v>5.992550605712024E-5</v>
      </c>
      <c r="Y75" s="4">
        <f t="shared" si="123"/>
        <v>0.50249637851332596</v>
      </c>
      <c r="Z75" s="348">
        <f t="shared" si="124"/>
        <v>2.5250261041900776E-4</v>
      </c>
      <c r="AA75" s="525">
        <f t="shared" si="125"/>
        <v>2.5250261041900776E-4</v>
      </c>
      <c r="AB75" s="348">
        <f t="shared" si="126"/>
        <v>0.71320814315131154</v>
      </c>
      <c r="AC75" s="348">
        <f t="shared" si="95"/>
        <v>6.1039902654881004E-3</v>
      </c>
      <c r="AD75" s="348">
        <f t="shared" si="96"/>
        <v>1.0134618056909572E-2</v>
      </c>
      <c r="AE75" s="348">
        <f t="shared" si="97"/>
        <v>7.8115712399999981E-2</v>
      </c>
      <c r="AF75" s="348">
        <f t="shared" si="98"/>
        <v>0</v>
      </c>
      <c r="AG75" s="348">
        <f t="shared" si="99"/>
        <v>9.44511776059343E-2</v>
      </c>
      <c r="AH75" s="348">
        <f t="shared" si="100"/>
        <v>0.70809384799701403</v>
      </c>
      <c r="AI75" s="348">
        <f t="shared" si="101"/>
        <v>2.0557272800419951E-3</v>
      </c>
      <c r="AJ75" s="348">
        <f t="shared" si="102"/>
        <v>7.8718147199999984E-3</v>
      </c>
      <c r="AK75" s="348">
        <f t="shared" si="103"/>
        <v>9.9308655866737882E-3</v>
      </c>
      <c r="AL75" s="348">
        <f t="shared" si="104"/>
        <v>7.8718147199999984E-3</v>
      </c>
      <c r="AM75" s="348">
        <f t="shared" si="105"/>
        <v>0.10426138271999998</v>
      </c>
      <c r="AN75" s="348">
        <f t="shared" si="106"/>
        <v>2.5251568825714006E-2</v>
      </c>
      <c r="AO75" s="348">
        <f t="shared" si="107"/>
        <v>1.452E-5</v>
      </c>
      <c r="AP75" s="348">
        <f t="shared" si="108"/>
        <v>6.6937199999999988E-2</v>
      </c>
      <c r="AQ75" s="348">
        <f t="shared" si="109"/>
        <v>4.7164980923076916E-2</v>
      </c>
      <c r="AR75" s="348">
        <f t="shared" si="110"/>
        <v>2.1419903999999993E-2</v>
      </c>
      <c r="AS75" s="348">
        <f t="shared" ref="AS75:AS109" si="133">SUM(AO75:AP75)</f>
        <v>6.6951719999999992E-2</v>
      </c>
      <c r="AT75" s="348">
        <f t="shared" si="111"/>
        <v>0.51262375683132611</v>
      </c>
      <c r="AU75">
        <f t="shared" si="112"/>
        <v>3.2669999999999999</v>
      </c>
      <c r="AV75" s="526">
        <f t="shared" si="127"/>
        <v>0.8643717497264628</v>
      </c>
      <c r="AW75" s="534">
        <f t="shared" si="113"/>
        <v>6.8570749884476401</v>
      </c>
      <c r="AX75" s="534">
        <f t="shared" si="114"/>
        <v>1.8045208606899432</v>
      </c>
      <c r="AY75" s="9"/>
      <c r="AZ75" s="4">
        <f t="shared" si="128"/>
        <v>86.437174972646275</v>
      </c>
      <c r="BA75" s="348">
        <f t="shared" si="115"/>
        <v>0.20359279925652787</v>
      </c>
      <c r="BB75" s="348">
        <f t="shared" si="129"/>
        <v>0.20864342591260807</v>
      </c>
      <c r="BC75" s="348">
        <f t="shared" si="130"/>
        <v>0.16326369020113429</v>
      </c>
      <c r="BD75" s="348">
        <f t="shared" si="131"/>
        <v>4.4337121884273786E-2</v>
      </c>
      <c r="BE75" s="348">
        <f t="shared" si="132"/>
        <v>2.5251568825714006E-2</v>
      </c>
      <c r="BK75" s="18"/>
      <c r="BL75" s="19"/>
    </row>
    <row r="76" spans="1:64" ht="13" x14ac:dyDescent="0.3">
      <c r="A76" s="34" t="s">
        <v>119</v>
      </c>
      <c r="B76" s="567">
        <f>B75*B62</f>
        <v>2.0085515999999997</v>
      </c>
      <c r="C76" s="427" t="s">
        <v>449</v>
      </c>
      <c r="G76">
        <v>67</v>
      </c>
      <c r="H76" s="531">
        <f t="shared" si="85"/>
        <v>6.6</v>
      </c>
      <c r="I76" s="4">
        <f t="shared" si="86"/>
        <v>1</v>
      </c>
      <c r="J76" s="348">
        <f t="shared" si="116"/>
        <v>1.0049999999999999</v>
      </c>
      <c r="K76" s="348">
        <f t="shared" si="87"/>
        <v>1.0049999999999999</v>
      </c>
      <c r="L76" s="4">
        <f t="shared" si="88"/>
        <v>0.55833333333333335</v>
      </c>
      <c r="M76" s="348">
        <f t="shared" si="89"/>
        <v>0.50365264809336241</v>
      </c>
      <c r="N76" s="4">
        <f t="shared" si="90"/>
        <v>0.59964971289397229</v>
      </c>
      <c r="O76" s="4">
        <f t="shared" si="117"/>
        <v>1.304824856446986</v>
      </c>
      <c r="P76" s="4">
        <f t="shared" si="118"/>
        <v>0.70517514355301381</v>
      </c>
      <c r="Q76" s="4">
        <f t="shared" si="91"/>
        <v>0</v>
      </c>
      <c r="R76" s="4">
        <f t="shared" si="119"/>
        <v>1.0197989907400797</v>
      </c>
      <c r="S76" s="348">
        <f t="shared" si="92"/>
        <v>3.6399649353006987E-3</v>
      </c>
      <c r="T76" s="348">
        <f t="shared" si="93"/>
        <v>0.2</v>
      </c>
      <c r="U76" s="348">
        <f t="shared" si="94"/>
        <v>0.20369928159468875</v>
      </c>
      <c r="V76" s="4">
        <f t="shared" si="120"/>
        <v>0.17310396157940836</v>
      </c>
      <c r="W76" s="348">
        <f t="shared" si="121"/>
        <v>5.9929963028970569E-5</v>
      </c>
      <c r="X76" s="348">
        <f t="shared" si="122"/>
        <v>5.9929963028970569E-5</v>
      </c>
      <c r="Y76" s="4">
        <f t="shared" si="123"/>
        <v>0.50988588919548317</v>
      </c>
      <c r="Z76" s="348">
        <f t="shared" si="124"/>
        <v>2.5998362000066857E-4</v>
      </c>
      <c r="AA76" s="525">
        <f t="shared" si="125"/>
        <v>2.5998362000066857E-4</v>
      </c>
      <c r="AB76" s="348">
        <f t="shared" si="126"/>
        <v>0.72373593815723813</v>
      </c>
      <c r="AC76" s="348">
        <f t="shared" si="95"/>
        <v>6.2855244981640523E-3</v>
      </c>
      <c r="AD76" s="348">
        <f t="shared" si="96"/>
        <v>1.0288172875953655E-2</v>
      </c>
      <c r="AE76" s="348">
        <f t="shared" si="97"/>
        <v>7.8115712399999981E-2</v>
      </c>
      <c r="AF76" s="348">
        <f t="shared" si="98"/>
        <v>0</v>
      </c>
      <c r="AG76" s="348">
        <f t="shared" si="99"/>
        <v>9.4789504468538663E-2</v>
      </c>
      <c r="AH76" s="348">
        <f t="shared" si="100"/>
        <v>0.71846800439139091</v>
      </c>
      <c r="AI76" s="348">
        <f t="shared" si="101"/>
        <v>2.1164047206700056E-3</v>
      </c>
      <c r="AJ76" s="348">
        <f t="shared" si="102"/>
        <v>7.9910846399999982E-3</v>
      </c>
      <c r="AK76" s="348">
        <f t="shared" si="103"/>
        <v>1.0110973103414444E-2</v>
      </c>
      <c r="AL76" s="348">
        <f t="shared" si="104"/>
        <v>7.9910846399999982E-3</v>
      </c>
      <c r="AM76" s="348">
        <f t="shared" si="105"/>
        <v>0.10584110063999996</v>
      </c>
      <c r="AN76" s="348">
        <f t="shared" si="106"/>
        <v>2.5999749537862132E-2</v>
      </c>
      <c r="AO76" s="348">
        <f t="shared" si="107"/>
        <v>1.452E-5</v>
      </c>
      <c r="AP76" s="348">
        <f t="shared" si="108"/>
        <v>6.6937199999999988E-2</v>
      </c>
      <c r="AQ76" s="348">
        <f t="shared" si="109"/>
        <v>4.7164980923076916E-2</v>
      </c>
      <c r="AR76" s="348">
        <f t="shared" si="110"/>
        <v>2.1419903999999993E-2</v>
      </c>
      <c r="AS76" s="348">
        <f t="shared" si="133"/>
        <v>6.6951719999999992E-2</v>
      </c>
      <c r="AT76" s="348">
        <f t="shared" si="111"/>
        <v>0.51570332756753356</v>
      </c>
      <c r="AU76">
        <f t="shared" si="112"/>
        <v>3.3164999999999996</v>
      </c>
      <c r="AV76" s="526">
        <f t="shared" si="127"/>
        <v>0.86542902777163633</v>
      </c>
      <c r="AW76" s="534">
        <f t="shared" si="113"/>
        <v>6.9150744974194227</v>
      </c>
      <c r="AX76" s="534">
        <f t="shared" si="114"/>
        <v>1.8330684280048077</v>
      </c>
      <c r="AY76" s="9"/>
      <c r="AZ76" s="4">
        <f t="shared" si="128"/>
        <v>86.542902777163633</v>
      </c>
      <c r="BA76" s="348">
        <f t="shared" si="115"/>
        <v>0.20369928159468875</v>
      </c>
      <c r="BB76" s="348">
        <f t="shared" si="129"/>
        <v>0.21074157821195305</v>
      </c>
      <c r="BC76" s="348">
        <f t="shared" si="130"/>
        <v>0.16464463089093864</v>
      </c>
      <c r="BD76" s="348">
        <f t="shared" si="131"/>
        <v>4.5038536314614436E-2</v>
      </c>
      <c r="BE76" s="348">
        <f t="shared" si="132"/>
        <v>2.5999749537862132E-2</v>
      </c>
      <c r="BK76" s="18"/>
      <c r="BL76" s="19"/>
    </row>
    <row r="77" spans="1:64" ht="13" x14ac:dyDescent="0.3">
      <c r="A77" s="34" t="s">
        <v>207</v>
      </c>
      <c r="B77" s="567">
        <f>(Qg_Q1+Qg_Q2)*Fsw+Iq</f>
        <v>1.338964E-2</v>
      </c>
      <c r="C77" s="21" t="s">
        <v>1</v>
      </c>
      <c r="G77">
        <v>68</v>
      </c>
      <c r="H77" s="531">
        <f t="shared" si="85"/>
        <v>6.6</v>
      </c>
      <c r="I77" s="4">
        <f t="shared" si="86"/>
        <v>1</v>
      </c>
      <c r="J77" s="348">
        <f t="shared" si="116"/>
        <v>1.02</v>
      </c>
      <c r="K77" s="348">
        <f t="shared" si="87"/>
        <v>1.02</v>
      </c>
      <c r="L77" s="4">
        <f t="shared" si="88"/>
        <v>0.56666666666666665</v>
      </c>
      <c r="M77" s="348">
        <f t="shared" si="89"/>
        <v>0.50370702153490732</v>
      </c>
      <c r="N77" s="4">
        <f t="shared" si="90"/>
        <v>0.59967199700094209</v>
      </c>
      <c r="O77" s="4">
        <f t="shared" si="117"/>
        <v>1.3198359985004711</v>
      </c>
      <c r="P77" s="4">
        <f t="shared" si="118"/>
        <v>0.72016400149952897</v>
      </c>
      <c r="Q77" s="4">
        <f t="shared" si="91"/>
        <v>0</v>
      </c>
      <c r="R77" s="4">
        <f t="shared" si="119"/>
        <v>1.0345855250609257</v>
      </c>
      <c r="S77" s="348">
        <f t="shared" si="92"/>
        <v>3.7462852303295699E-3</v>
      </c>
      <c r="T77" s="348">
        <f t="shared" si="93"/>
        <v>0.2</v>
      </c>
      <c r="U77" s="348">
        <f t="shared" si="94"/>
        <v>0.20380736687259737</v>
      </c>
      <c r="V77" s="4">
        <f t="shared" si="120"/>
        <v>0.1731103944469872</v>
      </c>
      <c r="W77" s="348">
        <f t="shared" si="121"/>
        <v>5.9934417331182998E-5</v>
      </c>
      <c r="X77" s="348">
        <f t="shared" si="122"/>
        <v>5.9934417331182998E-5</v>
      </c>
      <c r="Y77" s="4">
        <f t="shared" si="123"/>
        <v>0.51727854505183823</v>
      </c>
      <c r="Z77" s="348">
        <f t="shared" si="124"/>
        <v>2.6757709317094661E-4</v>
      </c>
      <c r="AA77" s="525">
        <f t="shared" si="125"/>
        <v>2.6757709317094661E-4</v>
      </c>
      <c r="AB77" s="348">
        <f t="shared" si="126"/>
        <v>0.73426935018804751</v>
      </c>
      <c r="AC77" s="348">
        <f t="shared" si="95"/>
        <v>6.4698177435069306E-3</v>
      </c>
      <c r="AD77" s="348">
        <f t="shared" si="96"/>
        <v>1.0441727694997741E-2</v>
      </c>
      <c r="AE77" s="348">
        <f t="shared" si="97"/>
        <v>7.8115712399999981E-2</v>
      </c>
      <c r="AF77" s="348">
        <f t="shared" si="98"/>
        <v>0</v>
      </c>
      <c r="AG77" s="348">
        <f t="shared" si="99"/>
        <v>9.5130658145868616E-2</v>
      </c>
      <c r="AH77" s="348">
        <f t="shared" si="100"/>
        <v>0.72884547747791761</v>
      </c>
      <c r="AI77" s="348">
        <f t="shared" si="101"/>
        <v>2.1779844931640556E-3</v>
      </c>
      <c r="AJ77" s="348">
        <f t="shared" si="102"/>
        <v>8.1103545599999997E-3</v>
      </c>
      <c r="AK77" s="348">
        <f t="shared" si="103"/>
        <v>1.0291988343941611E-2</v>
      </c>
      <c r="AL77" s="348">
        <f t="shared" si="104"/>
        <v>8.1103545599999997E-3</v>
      </c>
      <c r="AM77" s="348">
        <f t="shared" si="105"/>
        <v>0.10742081855999999</v>
      </c>
      <c r="AN77" s="348">
        <f t="shared" si="106"/>
        <v>2.6759180216639783E-2</v>
      </c>
      <c r="AO77" s="348">
        <f t="shared" si="107"/>
        <v>1.452E-5</v>
      </c>
      <c r="AP77" s="348">
        <f t="shared" si="108"/>
        <v>6.6937199999999988E-2</v>
      </c>
      <c r="AQ77" s="348">
        <f t="shared" si="109"/>
        <v>4.7164980923076916E-2</v>
      </c>
      <c r="AR77" s="348">
        <f t="shared" si="110"/>
        <v>2.1419903999999993E-2</v>
      </c>
      <c r="AS77" s="348">
        <f t="shared" si="133"/>
        <v>6.6951719999999992E-2</v>
      </c>
      <c r="AT77" s="348">
        <f t="shared" si="111"/>
        <v>0.51879959820954946</v>
      </c>
      <c r="AU77">
        <f t="shared" si="112"/>
        <v>3.3659999999999997</v>
      </c>
      <c r="AV77" s="526">
        <f t="shared" si="127"/>
        <v>0.86645396111329476</v>
      </c>
      <c r="AW77" s="534">
        <f t="shared" si="113"/>
        <v>6.9731927326096823</v>
      </c>
      <c r="AX77" s="534">
        <f t="shared" si="114"/>
        <v>1.8616529396777837</v>
      </c>
      <c r="AY77" s="9"/>
      <c r="AZ77" s="4">
        <f t="shared" si="128"/>
        <v>86.645396111329475</v>
      </c>
      <c r="BA77" s="348">
        <f t="shared" si="115"/>
        <v>0.20380736687259737</v>
      </c>
      <c r="BB77" s="348">
        <f t="shared" si="129"/>
        <v>0.21284346504981022</v>
      </c>
      <c r="BC77" s="348">
        <f t="shared" si="130"/>
        <v>0.16602839839546862</v>
      </c>
      <c r="BD77" s="348">
        <f t="shared" si="131"/>
        <v>4.574085846874161E-2</v>
      </c>
      <c r="BE77" s="348">
        <f t="shared" si="132"/>
        <v>2.6759180216639783E-2</v>
      </c>
      <c r="BK77" s="18"/>
      <c r="BL77" s="19"/>
    </row>
    <row r="78" spans="1:64" ht="13" x14ac:dyDescent="0.3">
      <c r="A78" s="34" t="s">
        <v>208</v>
      </c>
      <c r="B78" s="568">
        <f>Qrr_Q2*Fsw</f>
        <v>2.3935120000000001E-2</v>
      </c>
      <c r="C78" s="21" t="s">
        <v>1</v>
      </c>
      <c r="G78">
        <v>69</v>
      </c>
      <c r="H78" s="531">
        <f t="shared" si="85"/>
        <v>6.6</v>
      </c>
      <c r="I78" s="4">
        <f t="shared" si="86"/>
        <v>1</v>
      </c>
      <c r="J78" s="348">
        <f t="shared" si="116"/>
        <v>1.0349999999999999</v>
      </c>
      <c r="K78" s="348">
        <f t="shared" si="87"/>
        <v>1.0349999999999999</v>
      </c>
      <c r="L78" s="4">
        <f t="shared" si="88"/>
        <v>0.57499999999999996</v>
      </c>
      <c r="M78" s="348">
        <f t="shared" si="89"/>
        <v>0.50376139076145587</v>
      </c>
      <c r="N78" s="4">
        <f t="shared" si="90"/>
        <v>0.59969426692492833</v>
      </c>
      <c r="O78" s="4">
        <f t="shared" si="117"/>
        <v>1.3348471334624641</v>
      </c>
      <c r="P78" s="4">
        <f t="shared" si="118"/>
        <v>0.73515286653753575</v>
      </c>
      <c r="Q78" s="4">
        <f t="shared" si="91"/>
        <v>0</v>
      </c>
      <c r="R78" s="4">
        <f t="shared" si="119"/>
        <v>1.0493781179736337</v>
      </c>
      <c r="S78" s="348">
        <f t="shared" si="92"/>
        <v>3.8541805206865989E-3</v>
      </c>
      <c r="T78" s="348">
        <f t="shared" si="93"/>
        <v>0.2</v>
      </c>
      <c r="U78" s="348">
        <f t="shared" si="94"/>
        <v>0.20391705517203698</v>
      </c>
      <c r="V78" s="4">
        <f t="shared" si="120"/>
        <v>0.17311682322029134</v>
      </c>
      <c r="W78" s="348">
        <f t="shared" si="121"/>
        <v>5.9938868963771206E-5</v>
      </c>
      <c r="X78" s="348">
        <f t="shared" si="122"/>
        <v>5.9938868963771206E-5</v>
      </c>
      <c r="Y78" s="4">
        <f t="shared" si="123"/>
        <v>0.52467421211170051</v>
      </c>
      <c r="Z78" s="348">
        <f t="shared" si="124"/>
        <v>2.7528302885503368E-4</v>
      </c>
      <c r="AA78" s="525">
        <f t="shared" si="125"/>
        <v>2.7528302885503368E-4</v>
      </c>
      <c r="AB78" s="348">
        <f t="shared" si="126"/>
        <v>0.74480818994783449</v>
      </c>
      <c r="AC78" s="348">
        <f t="shared" si="95"/>
        <v>6.6568708777604343E-3</v>
      </c>
      <c r="AD78" s="348">
        <f t="shared" si="96"/>
        <v>1.0595282514041824E-2</v>
      </c>
      <c r="AE78" s="348">
        <f t="shared" si="97"/>
        <v>7.8115712399999981E-2</v>
      </c>
      <c r="AF78" s="348">
        <f t="shared" si="98"/>
        <v>0</v>
      </c>
      <c r="AG78" s="348">
        <f t="shared" si="99"/>
        <v>9.5474640266998381E-2</v>
      </c>
      <c r="AH78" s="348">
        <f t="shared" si="100"/>
        <v>0.73922607818482422</v>
      </c>
      <c r="AI78" s="348">
        <f t="shared" si="101"/>
        <v>2.2404662981409147E-3</v>
      </c>
      <c r="AJ78" s="348">
        <f t="shared" si="102"/>
        <v>8.2296244799999977E-3</v>
      </c>
      <c r="AK78" s="348">
        <f t="shared" si="103"/>
        <v>1.0473911115364722E-2</v>
      </c>
      <c r="AL78" s="348">
        <f t="shared" si="104"/>
        <v>8.2296244799999977E-3</v>
      </c>
      <c r="AM78" s="348">
        <f t="shared" si="105"/>
        <v>0.10900053647999998</v>
      </c>
      <c r="AN78" s="348">
        <f t="shared" si="106"/>
        <v>2.7529860862047135E-2</v>
      </c>
      <c r="AO78" s="348">
        <f t="shared" si="107"/>
        <v>1.452E-5</v>
      </c>
      <c r="AP78" s="348">
        <f t="shared" si="108"/>
        <v>6.6937199999999988E-2</v>
      </c>
      <c r="AQ78" s="348">
        <f t="shared" si="109"/>
        <v>4.7164980923076916E-2</v>
      </c>
      <c r="AR78" s="348">
        <f t="shared" si="110"/>
        <v>2.1419903999999993E-2</v>
      </c>
      <c r="AS78" s="348">
        <f t="shared" si="133"/>
        <v>6.6951719999999992E-2</v>
      </c>
      <c r="AT78" s="348">
        <f t="shared" si="111"/>
        <v>0.52191257027426596</v>
      </c>
      <c r="AU78">
        <f t="shared" si="112"/>
        <v>3.4154999999999998</v>
      </c>
      <c r="AV78" s="526">
        <f t="shared" si="127"/>
        <v>0.86744783256535607</v>
      </c>
      <c r="AW78" s="534">
        <f t="shared" si="113"/>
        <v>7.0314297624395312</v>
      </c>
      <c r="AX78" s="534">
        <f t="shared" si="114"/>
        <v>1.8902743878582242</v>
      </c>
      <c r="AY78" s="9"/>
      <c r="AZ78" s="4">
        <f t="shared" si="128"/>
        <v>86.744783256535612</v>
      </c>
      <c r="BA78" s="348">
        <f t="shared" si="115"/>
        <v>0.20391705517203698</v>
      </c>
      <c r="BB78" s="348">
        <f t="shared" si="129"/>
        <v>0.21494908786236308</v>
      </c>
      <c r="BC78" s="348">
        <f t="shared" si="130"/>
        <v>0.16741499434379836</v>
      </c>
      <c r="BD78" s="348">
        <f t="shared" si="131"/>
        <v>4.6444088153764718E-2</v>
      </c>
      <c r="BE78" s="348">
        <f t="shared" si="132"/>
        <v>2.7529860862047135E-2</v>
      </c>
      <c r="BK78" s="18"/>
      <c r="BL78" s="19"/>
    </row>
    <row r="79" spans="1:64" ht="13" x14ac:dyDescent="0.3">
      <c r="A79" s="34" t="s">
        <v>209</v>
      </c>
      <c r="B79" s="568">
        <f>Deadtime*Fsw*(Iripple_Vinnom/2)*(Vsd_Q2)/Vin</f>
        <v>1.8144981721502154E-4</v>
      </c>
      <c r="C79" s="21"/>
      <c r="G79">
        <v>70</v>
      </c>
      <c r="H79" s="531">
        <f t="shared" si="85"/>
        <v>6.6</v>
      </c>
      <c r="I79" s="4">
        <f t="shared" si="86"/>
        <v>1</v>
      </c>
      <c r="J79" s="348">
        <f t="shared" si="116"/>
        <v>1.05</v>
      </c>
      <c r="K79" s="348">
        <f t="shared" si="87"/>
        <v>1.05</v>
      </c>
      <c r="L79" s="4">
        <f t="shared" si="88"/>
        <v>0.58333333333333337</v>
      </c>
      <c r="M79" s="348">
        <f t="shared" si="89"/>
        <v>0.50381575577349802</v>
      </c>
      <c r="N79" s="4">
        <f t="shared" si="90"/>
        <v>0.5997165226675798</v>
      </c>
      <c r="O79" s="4">
        <f t="shared" si="117"/>
        <v>1.3498582613337899</v>
      </c>
      <c r="P79" s="4">
        <f t="shared" si="118"/>
        <v>0.75014173866621014</v>
      </c>
      <c r="Q79" s="4">
        <f t="shared" si="91"/>
        <v>0</v>
      </c>
      <c r="R79" s="4">
        <f t="shared" si="119"/>
        <v>1.0641765168257447</v>
      </c>
      <c r="S79" s="348">
        <f t="shared" si="92"/>
        <v>3.9636508063718105E-3</v>
      </c>
      <c r="T79" s="348">
        <f t="shared" si="93"/>
        <v>0.2</v>
      </c>
      <c r="U79" s="348">
        <f t="shared" si="94"/>
        <v>0.2040283465760061</v>
      </c>
      <c r="V79" s="4">
        <f t="shared" si="120"/>
        <v>0.17312324789979677</v>
      </c>
      <c r="W79" s="348">
        <f t="shared" si="121"/>
        <v>5.9943317926748972E-5</v>
      </c>
      <c r="X79" s="348">
        <f t="shared" si="122"/>
        <v>5.9943317926748972E-5</v>
      </c>
      <c r="Y79" s="4">
        <f t="shared" si="123"/>
        <v>0.5320727637855649</v>
      </c>
      <c r="Z79" s="348">
        <f t="shared" si="124"/>
        <v>2.8310142596240956E-4</v>
      </c>
      <c r="AA79" s="525">
        <f t="shared" si="125"/>
        <v>2.8310142596240956E-4</v>
      </c>
      <c r="AB79" s="348">
        <f t="shared" si="126"/>
        <v>0.75535227857781673</v>
      </c>
      <c r="AC79" s="348">
        <f t="shared" si="95"/>
        <v>6.8466847770323955E-3</v>
      </c>
      <c r="AD79" s="348">
        <f t="shared" si="96"/>
        <v>1.074883733308591E-2</v>
      </c>
      <c r="AE79" s="348">
        <f t="shared" si="97"/>
        <v>7.8115712399999981E-2</v>
      </c>
      <c r="AF79" s="348">
        <f t="shared" si="98"/>
        <v>0</v>
      </c>
      <c r="AG79" s="348">
        <f t="shared" si="99"/>
        <v>9.5821452469147139E-2</v>
      </c>
      <c r="AH79" s="348">
        <f t="shared" si="100"/>
        <v>0.74960962788018859</v>
      </c>
      <c r="AI79" s="348">
        <f t="shared" si="101"/>
        <v>2.3038498362637663E-3</v>
      </c>
      <c r="AJ79" s="348">
        <f t="shared" si="102"/>
        <v>8.3488943999999992E-3</v>
      </c>
      <c r="AK79" s="348">
        <f t="shared" si="103"/>
        <v>1.0656741225596475E-2</v>
      </c>
      <c r="AL79" s="348">
        <f t="shared" si="104"/>
        <v>8.3488943999999992E-3</v>
      </c>
      <c r="AM79" s="348">
        <f t="shared" si="105"/>
        <v>0.11058025439999999</v>
      </c>
      <c r="AN79" s="348">
        <f t="shared" si="106"/>
        <v>2.8311791474084358E-2</v>
      </c>
      <c r="AO79" s="348">
        <f t="shared" si="107"/>
        <v>1.452E-5</v>
      </c>
      <c r="AP79" s="348">
        <f t="shared" si="108"/>
        <v>6.6937199999999988E-2</v>
      </c>
      <c r="AQ79" s="348">
        <f t="shared" si="109"/>
        <v>4.7164980923076916E-2</v>
      </c>
      <c r="AR79" s="348">
        <f t="shared" si="110"/>
        <v>2.1419903999999993E-2</v>
      </c>
      <c r="AS79" s="348">
        <f t="shared" si="133"/>
        <v>6.6951719999999992E-2</v>
      </c>
      <c r="AT79" s="348">
        <f t="shared" si="111"/>
        <v>0.52504224528872312</v>
      </c>
      <c r="AU79">
        <f t="shared" si="112"/>
        <v>3.4649999999999999</v>
      </c>
      <c r="AV79" s="526">
        <f t="shared" si="127"/>
        <v>0.86841185806775067</v>
      </c>
      <c r="AW79" s="534">
        <f t="shared" si="113"/>
        <v>7.0897856556721797</v>
      </c>
      <c r="AX79" s="534">
        <f t="shared" si="114"/>
        <v>1.9189327647281766</v>
      </c>
      <c r="AY79" s="9"/>
      <c r="AZ79" s="4">
        <f t="shared" si="128"/>
        <v>86.841185806775073</v>
      </c>
      <c r="BA79" s="348">
        <f t="shared" si="115"/>
        <v>0.2040283465760061</v>
      </c>
      <c r="BB79" s="348">
        <f t="shared" si="129"/>
        <v>0.21705844809474362</v>
      </c>
      <c r="BC79" s="348">
        <f t="shared" si="130"/>
        <v>0.16880442037314713</v>
      </c>
      <c r="BD79" s="348">
        <f t="shared" si="131"/>
        <v>4.7148225177596474E-2</v>
      </c>
      <c r="BE79" s="348">
        <f t="shared" si="132"/>
        <v>2.8311791474084358E-2</v>
      </c>
      <c r="BK79" s="18"/>
      <c r="BL79" s="19"/>
    </row>
    <row r="80" spans="1:64" ht="13" x14ac:dyDescent="0.3">
      <c r="A80" s="34" t="s">
        <v>45</v>
      </c>
      <c r="B80" s="568">
        <f>SUM(B77:B79)</f>
        <v>3.7506209817215017E-2</v>
      </c>
      <c r="C80" s="21" t="s">
        <v>1</v>
      </c>
      <c r="G80">
        <v>71</v>
      </c>
      <c r="H80" s="531">
        <f t="shared" si="85"/>
        <v>6.6</v>
      </c>
      <c r="I80" s="4">
        <f t="shared" si="86"/>
        <v>1</v>
      </c>
      <c r="J80" s="348">
        <f t="shared" si="116"/>
        <v>1.0649999999999999</v>
      </c>
      <c r="K80" s="348">
        <f t="shared" si="87"/>
        <v>1.0649999999999999</v>
      </c>
      <c r="L80" s="4">
        <f t="shared" si="88"/>
        <v>0.59166666666666667</v>
      </c>
      <c r="M80" s="348">
        <f t="shared" si="89"/>
        <v>0.50387011657152392</v>
      </c>
      <c r="N80" s="4">
        <f t="shared" si="90"/>
        <v>0.5997387642305454</v>
      </c>
      <c r="O80" s="4">
        <f t="shared" si="117"/>
        <v>1.3648693821152726</v>
      </c>
      <c r="P80" s="4">
        <f t="shared" si="118"/>
        <v>0.76513061788472725</v>
      </c>
      <c r="Q80" s="4">
        <f t="shared" si="91"/>
        <v>0</v>
      </c>
      <c r="R80" s="4">
        <f t="shared" si="119"/>
        <v>1.0789804827289811</v>
      </c>
      <c r="S80" s="348">
        <f t="shared" si="92"/>
        <v>4.0746960873852276E-3</v>
      </c>
      <c r="T80" s="348">
        <f t="shared" si="93"/>
        <v>0.2</v>
      </c>
      <c r="U80" s="348">
        <f t="shared" si="94"/>
        <v>0.20414124116871837</v>
      </c>
      <c r="V80" s="4">
        <f t="shared" si="120"/>
        <v>0.17312966848597947</v>
      </c>
      <c r="W80" s="348">
        <f t="shared" si="121"/>
        <v>5.9947764220130307E-5</v>
      </c>
      <c r="X80" s="348">
        <f t="shared" si="122"/>
        <v>5.9947764220130307E-5</v>
      </c>
      <c r="Y80" s="4">
        <f t="shared" si="123"/>
        <v>0.53947408036609934</v>
      </c>
      <c r="Z80" s="348">
        <f t="shared" si="124"/>
        <v>2.9103228338684864E-4</v>
      </c>
      <c r="AA80" s="525">
        <f t="shared" si="125"/>
        <v>2.9103228338684864E-4</v>
      </c>
      <c r="AB80" s="348">
        <f t="shared" si="126"/>
        <v>0.76590144695073947</v>
      </c>
      <c r="AC80" s="348">
        <f t="shared" si="95"/>
        <v>7.0392603172948365E-3</v>
      </c>
      <c r="AD80" s="348">
        <f t="shared" si="96"/>
        <v>1.0902392152129993E-2</v>
      </c>
      <c r="AE80" s="348">
        <f t="shared" si="97"/>
        <v>7.8115712399999981E-2</v>
      </c>
      <c r="AF80" s="348">
        <f t="shared" si="98"/>
        <v>0</v>
      </c>
      <c r="AG80" s="348">
        <f t="shared" si="99"/>
        <v>9.617109639769203E-2</v>
      </c>
      <c r="AH80" s="348">
        <f t="shared" si="100"/>
        <v>0.75999595766611072</v>
      </c>
      <c r="AI80" s="348">
        <f t="shared" si="101"/>
        <v>2.368134808242198E-3</v>
      </c>
      <c r="AJ80" s="348">
        <f t="shared" si="102"/>
        <v>8.468164319999999E-3</v>
      </c>
      <c r="AK80" s="348">
        <f t="shared" si="103"/>
        <v>1.0840478483352121E-2</v>
      </c>
      <c r="AL80" s="348">
        <f t="shared" si="104"/>
        <v>8.468164319999999E-3</v>
      </c>
      <c r="AM80" s="348">
        <f t="shared" si="105"/>
        <v>0.11215997231999998</v>
      </c>
      <c r="AN80" s="348">
        <f t="shared" si="106"/>
        <v>2.9104972052751629E-2</v>
      </c>
      <c r="AO80" s="348">
        <f t="shared" si="107"/>
        <v>1.452E-5</v>
      </c>
      <c r="AP80" s="348">
        <f t="shared" si="108"/>
        <v>6.6937199999999988E-2</v>
      </c>
      <c r="AQ80" s="348">
        <f t="shared" si="109"/>
        <v>4.7164980923076916E-2</v>
      </c>
      <c r="AR80" s="348">
        <f t="shared" si="110"/>
        <v>2.1419903999999993E-2</v>
      </c>
      <c r="AS80" s="348">
        <f t="shared" si="133"/>
        <v>6.6951719999999992E-2</v>
      </c>
      <c r="AT80" s="348">
        <f t="shared" si="111"/>
        <v>0.52818862479012108</v>
      </c>
      <c r="AU80">
        <f t="shared" si="112"/>
        <v>3.5144999999999995</v>
      </c>
      <c r="AV80" s="526">
        <f t="shared" si="127"/>
        <v>0.86934719098789315</v>
      </c>
      <c r="AW80" s="534">
        <f t="shared" si="113"/>
        <v>7.1482604814134652</v>
      </c>
      <c r="AX80" s="534">
        <f t="shared" si="114"/>
        <v>1.9476280625023514</v>
      </c>
      <c r="AY80" s="9"/>
      <c r="AZ80" s="4">
        <f t="shared" si="128"/>
        <v>86.934719098789316</v>
      </c>
      <c r="BA80" s="348">
        <f t="shared" si="115"/>
        <v>0.20414124116871837</v>
      </c>
      <c r="BB80" s="348">
        <f t="shared" si="129"/>
        <v>0.21917154720104415</v>
      </c>
      <c r="BC80" s="348">
        <f t="shared" si="130"/>
        <v>0.17019667812889203</v>
      </c>
      <c r="BD80" s="348">
        <f t="shared" si="131"/>
        <v>4.7853269348952121E-2</v>
      </c>
      <c r="BE80" s="348">
        <f t="shared" si="132"/>
        <v>2.9104972052751629E-2</v>
      </c>
      <c r="BK80" s="18"/>
      <c r="BL80" s="19"/>
    </row>
    <row r="81" spans="1:64" ht="13" x14ac:dyDescent="0.3">
      <c r="A81" s="2"/>
      <c r="G81">
        <v>72</v>
      </c>
      <c r="H81" s="531">
        <f t="shared" si="85"/>
        <v>6.6</v>
      </c>
      <c r="I81" s="4">
        <f t="shared" si="86"/>
        <v>1</v>
      </c>
      <c r="J81" s="348">
        <f t="shared" si="116"/>
        <v>1.08</v>
      </c>
      <c r="K81" s="348">
        <f t="shared" si="87"/>
        <v>1.08</v>
      </c>
      <c r="L81" s="4">
        <f t="shared" si="88"/>
        <v>0.60000000000000009</v>
      </c>
      <c r="M81" s="348">
        <f t="shared" si="89"/>
        <v>0.5039244731560234</v>
      </c>
      <c r="N81" s="4">
        <f t="shared" si="90"/>
        <v>0.59976099161547392</v>
      </c>
      <c r="O81" s="4">
        <f t="shared" si="117"/>
        <v>1.3798804958077371</v>
      </c>
      <c r="P81" s="4">
        <f t="shared" si="118"/>
        <v>0.78011950419226306</v>
      </c>
      <c r="Q81" s="4">
        <f t="shared" si="91"/>
        <v>0</v>
      </c>
      <c r="R81" s="4">
        <f t="shared" si="119"/>
        <v>1.0937897896405711</v>
      </c>
      <c r="S81" s="348">
        <f t="shared" si="92"/>
        <v>4.1873163637268767E-3</v>
      </c>
      <c r="T81" s="348">
        <f t="shared" si="93"/>
        <v>0.2</v>
      </c>
      <c r="U81" s="348">
        <f t="shared" si="94"/>
        <v>0.20425573903560279</v>
      </c>
      <c r="V81" s="4">
        <f t="shared" si="120"/>
        <v>0.17313608497931537</v>
      </c>
      <c r="W81" s="348">
        <f t="shared" si="121"/>
        <v>5.995220784392943E-5</v>
      </c>
      <c r="X81" s="348">
        <f t="shared" si="122"/>
        <v>5.995220784392943E-5</v>
      </c>
      <c r="Y81" s="4">
        <f t="shared" si="123"/>
        <v>0.54687804856880662</v>
      </c>
      <c r="Z81" s="348">
        <f t="shared" si="124"/>
        <v>2.9907560000642605E-4</v>
      </c>
      <c r="AA81" s="525">
        <f t="shared" si="125"/>
        <v>2.9907560000642605E-4</v>
      </c>
      <c r="AB81" s="348">
        <f t="shared" si="126"/>
        <v>0.77645553502137643</v>
      </c>
      <c r="AC81" s="348">
        <f t="shared" si="95"/>
        <v>7.234598374383984E-3</v>
      </c>
      <c r="AD81" s="348">
        <f t="shared" si="96"/>
        <v>1.1055946971174079E-2</v>
      </c>
      <c r="AE81" s="348">
        <f t="shared" si="97"/>
        <v>7.8115712399999981E-2</v>
      </c>
      <c r="AF81" s="348">
        <f t="shared" si="98"/>
        <v>0</v>
      </c>
      <c r="AG81" s="348">
        <f t="shared" si="99"/>
        <v>9.6523573706181365E-2</v>
      </c>
      <c r="AH81" s="348">
        <f t="shared" si="100"/>
        <v>0.77038490772900836</v>
      </c>
      <c r="AI81" s="348">
        <f t="shared" si="101"/>
        <v>2.433320914832194E-3</v>
      </c>
      <c r="AJ81" s="348">
        <f t="shared" si="102"/>
        <v>8.5874342399999987E-3</v>
      </c>
      <c r="AK81" s="348">
        <f t="shared" si="103"/>
        <v>1.1025122698148811E-2</v>
      </c>
      <c r="AL81" s="348">
        <f t="shared" si="104"/>
        <v>8.5874342399999987E-3</v>
      </c>
      <c r="AM81" s="348">
        <f t="shared" si="105"/>
        <v>0.11373969023999998</v>
      </c>
      <c r="AN81" s="348">
        <f t="shared" si="106"/>
        <v>2.9909402598049119E-2</v>
      </c>
      <c r="AO81" s="348">
        <f t="shared" si="107"/>
        <v>1.452E-5</v>
      </c>
      <c r="AP81" s="348">
        <f t="shared" si="108"/>
        <v>6.6937199999999988E-2</v>
      </c>
      <c r="AQ81" s="348">
        <f t="shared" si="109"/>
        <v>4.7164980923076916E-2</v>
      </c>
      <c r="AR81" s="348">
        <f t="shared" si="110"/>
        <v>2.1419903999999993E-2</v>
      </c>
      <c r="AS81" s="348">
        <f t="shared" si="133"/>
        <v>6.6951719999999992E-2</v>
      </c>
      <c r="AT81" s="348">
        <f t="shared" si="111"/>
        <v>0.53135171032583239</v>
      </c>
      <c r="AU81">
        <f t="shared" si="112"/>
        <v>3.5640000000000001</v>
      </c>
      <c r="AV81" s="526">
        <f t="shared" si="127"/>
        <v>0.87025492609435551</v>
      </c>
      <c r="AW81" s="534">
        <f t="shared" si="113"/>
        <v>7.2068543091124173</v>
      </c>
      <c r="AX81" s="534">
        <f t="shared" si="114"/>
        <v>1.9763602734280969</v>
      </c>
      <c r="AY81" s="9"/>
      <c r="AZ81" s="4">
        <f t="shared" si="128"/>
        <v>87.025492609435545</v>
      </c>
      <c r="BA81" s="348">
        <f t="shared" si="115"/>
        <v>0.20425573903560279</v>
      </c>
      <c r="BB81" s="348">
        <f t="shared" si="129"/>
        <v>0.22128838664433015</v>
      </c>
      <c r="BC81" s="348">
        <f t="shared" si="130"/>
        <v>0.17159176926458136</v>
      </c>
      <c r="BD81" s="348">
        <f t="shared" si="131"/>
        <v>4.8559220477348813E-2</v>
      </c>
      <c r="BE81" s="348">
        <f t="shared" si="132"/>
        <v>2.9909402598049119E-2</v>
      </c>
      <c r="BK81" s="18"/>
      <c r="BL81" s="19"/>
    </row>
    <row r="82" spans="1:64" ht="13" x14ac:dyDescent="0.3">
      <c r="A82" s="2"/>
      <c r="G82">
        <v>73</v>
      </c>
      <c r="H82" s="531">
        <f t="shared" si="85"/>
        <v>6.6</v>
      </c>
      <c r="I82" s="4">
        <f t="shared" si="86"/>
        <v>1</v>
      </c>
      <c r="J82" s="348">
        <f t="shared" si="116"/>
        <v>1.095</v>
      </c>
      <c r="K82" s="348">
        <f t="shared" si="87"/>
        <v>1.095</v>
      </c>
      <c r="L82" s="4">
        <f t="shared" si="88"/>
        <v>0.60833333333333328</v>
      </c>
      <c r="M82" s="348">
        <f t="shared" si="89"/>
        <v>0.50397882552748641</v>
      </c>
      <c r="N82" s="4">
        <f t="shared" si="90"/>
        <v>0.5997832048240137</v>
      </c>
      <c r="O82" s="4">
        <f t="shared" si="117"/>
        <v>1.3948916024120068</v>
      </c>
      <c r="P82" s="4">
        <f t="shared" si="118"/>
        <v>0.79510839758799312</v>
      </c>
      <c r="Q82" s="4">
        <f t="shared" si="91"/>
        <v>0</v>
      </c>
      <c r="R82" s="4">
        <f t="shared" si="119"/>
        <v>1.1086042235167068</v>
      </c>
      <c r="S82" s="348">
        <f t="shared" si="92"/>
        <v>4.3015116353967821E-3</v>
      </c>
      <c r="T82" s="348">
        <f t="shared" si="93"/>
        <v>0.2</v>
      </c>
      <c r="U82" s="348">
        <f t="shared" si="94"/>
        <v>0.20437184026330399</v>
      </c>
      <c r="V82" s="4">
        <f t="shared" si="120"/>
        <v>0.1731424973802804</v>
      </c>
      <c r="W82" s="348">
        <f t="shared" si="121"/>
        <v>5.9956648798160812E-5</v>
      </c>
      <c r="X82" s="348">
        <f t="shared" si="122"/>
        <v>5.9956648798160812E-5</v>
      </c>
      <c r="Y82" s="4">
        <f t="shared" si="123"/>
        <v>0.5542845611087529</v>
      </c>
      <c r="Z82" s="348">
        <f t="shared" si="124"/>
        <v>3.0723137468352286E-4</v>
      </c>
      <c r="AA82" s="525">
        <f t="shared" si="125"/>
        <v>3.0723137468352286E-4</v>
      </c>
      <c r="AB82" s="348">
        <f t="shared" si="126"/>
        <v>0.78701439122802885</v>
      </c>
      <c r="AC82" s="348">
        <f t="shared" si="95"/>
        <v>7.4326998240002986E-3</v>
      </c>
      <c r="AD82" s="348">
        <f t="shared" si="96"/>
        <v>1.1209501790218164E-2</v>
      </c>
      <c r="AE82" s="348">
        <f t="shared" si="97"/>
        <v>7.8115712399999981E-2</v>
      </c>
      <c r="AF82" s="348">
        <f t="shared" si="98"/>
        <v>0</v>
      </c>
      <c r="AG82" s="348">
        <f t="shared" si="99"/>
        <v>9.6878886056347618E-2</v>
      </c>
      <c r="AH82" s="348">
        <f t="shared" si="100"/>
        <v>0.78077632674092745</v>
      </c>
      <c r="AI82" s="348">
        <f t="shared" si="101"/>
        <v>2.4994078568361272E-3</v>
      </c>
      <c r="AJ82" s="348">
        <f t="shared" si="102"/>
        <v>8.7067041599999985E-3</v>
      </c>
      <c r="AK82" s="348">
        <f t="shared" si="103"/>
        <v>1.1210673680304897E-2</v>
      </c>
      <c r="AL82" s="348">
        <f t="shared" si="104"/>
        <v>8.7067041599999985E-3</v>
      </c>
      <c r="AM82" s="348">
        <f t="shared" si="105"/>
        <v>0.11531940816</v>
      </c>
      <c r="AN82" s="348">
        <f t="shared" si="106"/>
        <v>3.0725083109977014E-2</v>
      </c>
      <c r="AO82" s="348">
        <f t="shared" si="107"/>
        <v>1.452E-5</v>
      </c>
      <c r="AP82" s="348">
        <f t="shared" si="108"/>
        <v>6.6937199999999988E-2</v>
      </c>
      <c r="AQ82" s="348">
        <f t="shared" si="109"/>
        <v>4.7164980923076916E-2</v>
      </c>
      <c r="AR82" s="348">
        <f t="shared" si="110"/>
        <v>2.1419903999999993E-2</v>
      </c>
      <c r="AS82" s="348">
        <f t="shared" si="133"/>
        <v>6.6951719999999992E-2</v>
      </c>
      <c r="AT82" s="348">
        <f t="shared" si="111"/>
        <v>0.53453150345341527</v>
      </c>
      <c r="AU82">
        <f t="shared" si="112"/>
        <v>3.6134999999999997</v>
      </c>
      <c r="AV82" s="526">
        <f t="shared" si="127"/>
        <v>0.87113610323152191</v>
      </c>
      <c r="AW82" s="534">
        <f t="shared" si="113"/>
        <v>7.2655672085617997</v>
      </c>
      <c r="AX82" s="534">
        <f t="shared" si="114"/>
        <v>2.0051293897853695</v>
      </c>
      <c r="AY82" s="9"/>
      <c r="AZ82" s="4">
        <f t="shared" si="128"/>
        <v>87.113610323152187</v>
      </c>
      <c r="BA82" s="348">
        <f t="shared" si="115"/>
        <v>0.20437184026330399</v>
      </c>
      <c r="BB82" s="348">
        <f t="shared" si="129"/>
        <v>0.22340896789665252</v>
      </c>
      <c r="BC82" s="348">
        <f t="shared" si="130"/>
        <v>0.17298969544194762</v>
      </c>
      <c r="BD82" s="348">
        <f t="shared" si="131"/>
        <v>4.9266078373104899E-2</v>
      </c>
      <c r="BE82" s="348">
        <f t="shared" si="132"/>
        <v>3.0725083109977014E-2</v>
      </c>
      <c r="BK82" s="18"/>
      <c r="BL82" s="19"/>
    </row>
    <row r="83" spans="1:64" ht="13" x14ac:dyDescent="0.3">
      <c r="A83" s="2"/>
      <c r="G83">
        <v>74</v>
      </c>
      <c r="H83" s="531">
        <f t="shared" si="85"/>
        <v>6.6</v>
      </c>
      <c r="I83" s="4">
        <f t="shared" si="86"/>
        <v>1</v>
      </c>
      <c r="J83" s="348">
        <f t="shared" si="116"/>
        <v>1.1100000000000001</v>
      </c>
      <c r="K83" s="348">
        <f t="shared" si="87"/>
        <v>1.1100000000000001</v>
      </c>
      <c r="L83" s="4">
        <f t="shared" si="88"/>
        <v>0.61666666666666681</v>
      </c>
      <c r="M83" s="348">
        <f t="shared" si="89"/>
        <v>0.50403317368640277</v>
      </c>
      <c r="N83" s="4">
        <f t="shared" si="90"/>
        <v>0.59980540385781267</v>
      </c>
      <c r="O83" s="4">
        <f t="shared" si="117"/>
        <v>1.4099027019289063</v>
      </c>
      <c r="P83" s="4">
        <f t="shared" si="118"/>
        <v>0.81009729807109376</v>
      </c>
      <c r="Q83" s="4">
        <f t="shared" si="91"/>
        <v>0</v>
      </c>
      <c r="R83" s="4">
        <f t="shared" si="119"/>
        <v>1.1234235815316589</v>
      </c>
      <c r="S83" s="348">
        <f t="shared" si="92"/>
        <v>4.417281902394969E-3</v>
      </c>
      <c r="T83" s="348">
        <f t="shared" si="93"/>
        <v>0.2</v>
      </c>
      <c r="U83" s="348">
        <f t="shared" si="94"/>
        <v>0.20448954493968227</v>
      </c>
      <c r="V83" s="4">
        <f t="shared" si="120"/>
        <v>0.17314890568935018</v>
      </c>
      <c r="W83" s="348">
        <f t="shared" si="121"/>
        <v>5.996108708283897E-5</v>
      </c>
      <c r="X83" s="348">
        <f t="shared" si="122"/>
        <v>5.996108708283897E-5</v>
      </c>
      <c r="Y83" s="4">
        <f t="shared" si="123"/>
        <v>0.56169351631012576</v>
      </c>
      <c r="Z83" s="348">
        <f t="shared" si="124"/>
        <v>3.1549960626483354E-4</v>
      </c>
      <c r="AA83" s="525">
        <f t="shared" si="125"/>
        <v>3.1549960626483354E-4</v>
      </c>
      <c r="AB83" s="348">
        <f t="shared" si="126"/>
        <v>0.79757787194044072</v>
      </c>
      <c r="AC83" s="348">
        <f t="shared" si="95"/>
        <v>7.6335655417085055E-3</v>
      </c>
      <c r="AD83" s="348">
        <f t="shared" si="96"/>
        <v>1.1363056609262248E-2</v>
      </c>
      <c r="AE83" s="348">
        <f t="shared" si="97"/>
        <v>7.8115712399999981E-2</v>
      </c>
      <c r="AF83" s="348">
        <f t="shared" si="98"/>
        <v>0</v>
      </c>
      <c r="AG83" s="348">
        <f t="shared" si="99"/>
        <v>9.7237035118120874E-2</v>
      </c>
      <c r="AH83" s="348">
        <f t="shared" si="100"/>
        <v>0.79117007130728711</v>
      </c>
      <c r="AI83" s="348">
        <f t="shared" si="101"/>
        <v>2.5663953351027485E-3</v>
      </c>
      <c r="AJ83" s="348">
        <f t="shared" si="102"/>
        <v>8.82597408E-3</v>
      </c>
      <c r="AK83" s="348">
        <f t="shared" si="103"/>
        <v>1.1397131240939258E-2</v>
      </c>
      <c r="AL83" s="348">
        <f t="shared" si="104"/>
        <v>8.82597408E-3</v>
      </c>
      <c r="AM83" s="348">
        <f t="shared" si="105"/>
        <v>0.11689912608</v>
      </c>
      <c r="AN83" s="348">
        <f t="shared" si="106"/>
        <v>3.1552013588535495E-2</v>
      </c>
      <c r="AO83" s="348">
        <f t="shared" si="107"/>
        <v>1.452E-5</v>
      </c>
      <c r="AP83" s="348">
        <f t="shared" si="108"/>
        <v>6.6937199999999988E-2</v>
      </c>
      <c r="AQ83" s="348">
        <f t="shared" si="109"/>
        <v>4.7164980923076916E-2</v>
      </c>
      <c r="AR83" s="348">
        <f t="shared" si="110"/>
        <v>2.1419903999999993E-2</v>
      </c>
      <c r="AS83" s="348">
        <f t="shared" si="133"/>
        <v>6.6951719999999992E-2</v>
      </c>
      <c r="AT83" s="348">
        <f t="shared" si="111"/>
        <v>0.53772800574062563</v>
      </c>
      <c r="AU83">
        <f t="shared" si="112"/>
        <v>3.6630000000000003</v>
      </c>
      <c r="AV83" s="526">
        <f t="shared" si="127"/>
        <v>0.87199171072114701</v>
      </c>
      <c r="AW83" s="534">
        <f t="shared" si="113"/>
        <v>7.3243992498986765</v>
      </c>
      <c r="AX83" s="534">
        <f t="shared" si="114"/>
        <v>2.0339354038867081</v>
      </c>
      <c r="AY83" s="9"/>
      <c r="AZ83" s="4">
        <f t="shared" si="128"/>
        <v>87.199171072114694</v>
      </c>
      <c r="BA83" s="348">
        <f t="shared" si="115"/>
        <v>0.20448954493968227</v>
      </c>
      <c r="BB83" s="348">
        <f t="shared" si="129"/>
        <v>0.22553329243906012</v>
      </c>
      <c r="BC83" s="348">
        <f t="shared" si="130"/>
        <v>0.17439045833092087</v>
      </c>
      <c r="BD83" s="348">
        <f t="shared" si="131"/>
        <v>4.9973842847339259E-2</v>
      </c>
      <c r="BE83" s="348">
        <f t="shared" si="132"/>
        <v>3.1552013588535495E-2</v>
      </c>
      <c r="BK83" s="18"/>
      <c r="BL83" s="19"/>
    </row>
    <row r="84" spans="1:64" x14ac:dyDescent="0.25">
      <c r="G84">
        <v>75</v>
      </c>
      <c r="H84" s="531">
        <f t="shared" si="85"/>
        <v>6.6</v>
      </c>
      <c r="I84" s="4">
        <f t="shared" si="86"/>
        <v>1</v>
      </c>
      <c r="J84" s="348">
        <f t="shared" si="116"/>
        <v>1.125</v>
      </c>
      <c r="K84" s="348">
        <f t="shared" si="87"/>
        <v>1.125</v>
      </c>
      <c r="L84" s="4">
        <f t="shared" si="88"/>
        <v>0.625</v>
      </c>
      <c r="M84" s="348">
        <f t="shared" si="89"/>
        <v>0.50408751763326209</v>
      </c>
      <c r="N84" s="4">
        <f t="shared" si="90"/>
        <v>0.5998275887185186</v>
      </c>
      <c r="O84" s="4">
        <f t="shared" si="117"/>
        <v>1.4249137943592594</v>
      </c>
      <c r="P84" s="4">
        <f t="shared" si="118"/>
        <v>0.82508620564074064</v>
      </c>
      <c r="Q84" s="4">
        <f t="shared" si="91"/>
        <v>0</v>
      </c>
      <c r="R84" s="4">
        <f t="shared" si="119"/>
        <v>1.1382476713567173</v>
      </c>
      <c r="S84" s="348">
        <f t="shared" si="92"/>
        <v>4.5346271647214633E-3</v>
      </c>
      <c r="T84" s="348">
        <f t="shared" si="93"/>
        <v>0.2</v>
      </c>
      <c r="U84" s="348">
        <f t="shared" si="94"/>
        <v>0.2046088531538138</v>
      </c>
      <c r="V84" s="4">
        <f t="shared" si="120"/>
        <v>0.17315530990700043</v>
      </c>
      <c r="W84" s="348">
        <f t="shared" si="121"/>
        <v>5.9965522697978717E-5</v>
      </c>
      <c r="X84" s="348">
        <f t="shared" si="122"/>
        <v>5.9965522697978717E-5</v>
      </c>
      <c r="Y84" s="4">
        <f t="shared" si="123"/>
        <v>0.56910481774570421</v>
      </c>
      <c r="Z84" s="348">
        <f t="shared" si="124"/>
        <v>3.238802935813712E-4</v>
      </c>
      <c r="AA84" s="525">
        <f t="shared" si="125"/>
        <v>3.238802935813712E-4</v>
      </c>
      <c r="AB84" s="348">
        <f t="shared" si="126"/>
        <v>0.80814584095001074</v>
      </c>
      <c r="AC84" s="348">
        <f t="shared" si="95"/>
        <v>7.8371964029376011E-3</v>
      </c>
      <c r="AD84" s="348">
        <f t="shared" si="96"/>
        <v>1.1516611428306333E-2</v>
      </c>
      <c r="AE84" s="348">
        <f t="shared" si="97"/>
        <v>7.8115712399999981E-2</v>
      </c>
      <c r="AF84" s="348">
        <f t="shared" si="98"/>
        <v>0</v>
      </c>
      <c r="AG84" s="348">
        <f t="shared" si="99"/>
        <v>9.759802256964191E-2</v>
      </c>
      <c r="AH84" s="348">
        <f t="shared" si="100"/>
        <v>0.80156600545693657</v>
      </c>
      <c r="AI84" s="348">
        <f t="shared" si="101"/>
        <v>2.6342830505271773E-3</v>
      </c>
      <c r="AJ84" s="348">
        <f t="shared" si="102"/>
        <v>8.945243999999998E-3</v>
      </c>
      <c r="AK84" s="348">
        <f t="shared" si="103"/>
        <v>1.1584495191970608E-2</v>
      </c>
      <c r="AL84" s="348">
        <f t="shared" si="104"/>
        <v>8.945243999999998E-3</v>
      </c>
      <c r="AM84" s="348">
        <f t="shared" si="105"/>
        <v>0.11847884399999999</v>
      </c>
      <c r="AN84" s="348">
        <f t="shared" si="106"/>
        <v>3.2390194033724742E-2</v>
      </c>
      <c r="AO84" s="348">
        <f t="shared" si="107"/>
        <v>1.452E-5</v>
      </c>
      <c r="AP84" s="348">
        <f t="shared" si="108"/>
        <v>6.6937199999999988E-2</v>
      </c>
      <c r="AQ84" s="348">
        <f t="shared" si="109"/>
        <v>4.7164980923076916E-2</v>
      </c>
      <c r="AR84" s="348">
        <f t="shared" si="110"/>
        <v>2.1419903999999993E-2</v>
      </c>
      <c r="AS84" s="348">
        <f t="shared" si="133"/>
        <v>6.6951719999999992E-2</v>
      </c>
      <c r="AT84" s="348">
        <f t="shared" si="111"/>
        <v>0.54094121876543055</v>
      </c>
      <c r="AU84">
        <f t="shared" si="112"/>
        <v>3.7124999999999999</v>
      </c>
      <c r="AV84" s="526">
        <f t="shared" si="127"/>
        <v>0.87282268851420974</v>
      </c>
      <c r="AW84" s="534">
        <f t="shared" si="113"/>
        <v>7.3833505036049596</v>
      </c>
      <c r="AX84" s="534">
        <f t="shared" si="114"/>
        <v>2.062778308077204</v>
      </c>
      <c r="AY84" s="9"/>
      <c r="AZ84" s="4">
        <f t="shared" si="128"/>
        <v>87.28226885142098</v>
      </c>
      <c r="BA84" s="348">
        <f t="shared" si="115"/>
        <v>0.2046088531538138</v>
      </c>
      <c r="BB84" s="348">
        <f t="shared" si="129"/>
        <v>0.2276613617616125</v>
      </c>
      <c r="BC84" s="348">
        <f t="shared" si="130"/>
        <v>0.1757940596096419</v>
      </c>
      <c r="BD84" s="348">
        <f t="shared" si="131"/>
        <v>5.0682513711970606E-2</v>
      </c>
      <c r="BE84" s="348">
        <f t="shared" si="132"/>
        <v>3.2390194033724742E-2</v>
      </c>
      <c r="BK84" s="18"/>
      <c r="BL84" s="19"/>
    </row>
    <row r="85" spans="1:64" x14ac:dyDescent="0.25">
      <c r="G85">
        <v>76</v>
      </c>
      <c r="H85" s="531">
        <f t="shared" si="85"/>
        <v>6.6</v>
      </c>
      <c r="I85" s="4">
        <f t="shared" si="86"/>
        <v>1</v>
      </c>
      <c r="J85" s="348">
        <f t="shared" si="116"/>
        <v>1.1399999999999999</v>
      </c>
      <c r="K85" s="348">
        <f t="shared" si="87"/>
        <v>1.1399999999999999</v>
      </c>
      <c r="L85" s="4">
        <f t="shared" si="88"/>
        <v>0.6333333333333333</v>
      </c>
      <c r="M85" s="348">
        <f t="shared" si="89"/>
        <v>0.50414185736855421</v>
      </c>
      <c r="N85" s="4">
        <f t="shared" si="90"/>
        <v>0.59984975940777951</v>
      </c>
      <c r="O85" s="4">
        <f t="shared" si="117"/>
        <v>1.4399248797038897</v>
      </c>
      <c r="P85" s="4">
        <f t="shared" si="118"/>
        <v>0.84007512029611009</v>
      </c>
      <c r="Q85" s="4">
        <f t="shared" si="91"/>
        <v>0</v>
      </c>
      <c r="R85" s="4">
        <f t="shared" si="119"/>
        <v>1.1530763104937147</v>
      </c>
      <c r="S85" s="348">
        <f t="shared" si="92"/>
        <v>4.653547422376292E-3</v>
      </c>
      <c r="T85" s="348">
        <f t="shared" si="93"/>
        <v>0.2</v>
      </c>
      <c r="U85" s="348">
        <f t="shared" si="94"/>
        <v>0.20472976499599074</v>
      </c>
      <c r="V85" s="4">
        <f t="shared" si="120"/>
        <v>0.17316171003370689</v>
      </c>
      <c r="W85" s="348">
        <f t="shared" si="121"/>
        <v>5.9969955643595176E-5</v>
      </c>
      <c r="X85" s="348">
        <f t="shared" si="122"/>
        <v>5.9969955643595176E-5</v>
      </c>
      <c r="Y85" s="4">
        <f t="shared" si="123"/>
        <v>0.57651837390361971</v>
      </c>
      <c r="Z85" s="348">
        <f t="shared" si="124"/>
        <v>3.3237343544847389E-4</v>
      </c>
      <c r="AA85" s="525">
        <f t="shared" si="125"/>
        <v>3.3237343544847389E-4</v>
      </c>
      <c r="AB85" s="348">
        <f t="shared" si="126"/>
        <v>0.81871816899859318</v>
      </c>
      <c r="AC85" s="348">
        <f t="shared" si="95"/>
        <v>8.0435932829809077E-3</v>
      </c>
      <c r="AD85" s="348">
        <f t="shared" si="96"/>
        <v>1.1670166247350417E-2</v>
      </c>
      <c r="AE85" s="348">
        <f t="shared" si="97"/>
        <v>7.8115712399999981E-2</v>
      </c>
      <c r="AF85" s="348">
        <f t="shared" si="98"/>
        <v>0</v>
      </c>
      <c r="AG85" s="348">
        <f t="shared" si="99"/>
        <v>9.7961850097275677E-2</v>
      </c>
      <c r="AH85" s="348">
        <f t="shared" si="100"/>
        <v>0.81196400017081338</v>
      </c>
      <c r="AI85" s="348">
        <f t="shared" si="101"/>
        <v>2.7030707040508928E-3</v>
      </c>
      <c r="AJ85" s="348">
        <f t="shared" si="102"/>
        <v>9.0645139199999978E-3</v>
      </c>
      <c r="AK85" s="348">
        <f t="shared" si="103"/>
        <v>1.1772765346116846E-2</v>
      </c>
      <c r="AL85" s="348">
        <f t="shared" si="104"/>
        <v>9.0645139199999978E-3</v>
      </c>
      <c r="AM85" s="348">
        <f t="shared" si="105"/>
        <v>0.12005856191999997</v>
      </c>
      <c r="AN85" s="348">
        <f t="shared" si="106"/>
        <v>3.3239624445544944E-2</v>
      </c>
      <c r="AO85" s="348">
        <f t="shared" si="107"/>
        <v>1.452E-5</v>
      </c>
      <c r="AP85" s="348">
        <f t="shared" si="108"/>
        <v>6.6937199999999988E-2</v>
      </c>
      <c r="AQ85" s="348">
        <f t="shared" si="109"/>
        <v>4.7164980923076916E-2</v>
      </c>
      <c r="AR85" s="348">
        <f t="shared" si="110"/>
        <v>2.1419903999999993E-2</v>
      </c>
      <c r="AS85" s="348">
        <f t="shared" si="133"/>
        <v>6.6951719999999992E-2</v>
      </c>
      <c r="AT85" s="348">
        <f t="shared" si="111"/>
        <v>0.5441711441160203</v>
      </c>
      <c r="AU85">
        <f t="shared" si="112"/>
        <v>3.7619999999999996</v>
      </c>
      <c r="AV85" s="526">
        <f t="shared" si="127"/>
        <v>0.87362993111419207</v>
      </c>
      <c r="AW85" s="534">
        <f t="shared" si="113"/>
        <v>7.4424210405079769</v>
      </c>
      <c r="AX85" s="534">
        <f t="shared" si="114"/>
        <v>2.0916580947344756</v>
      </c>
      <c r="AY85" s="9"/>
      <c r="AZ85" s="4">
        <f t="shared" si="128"/>
        <v>87.3629931114192</v>
      </c>
      <c r="BA85" s="348">
        <f t="shared" si="115"/>
        <v>0.20472976499599074</v>
      </c>
      <c r="BB85" s="348">
        <f t="shared" si="129"/>
        <v>0.2297931773633925</v>
      </c>
      <c r="BC85" s="348">
        <f t="shared" si="130"/>
        <v>0.17720050096447565</v>
      </c>
      <c r="BD85" s="348">
        <f t="shared" si="131"/>
        <v>5.1392090779716841E-2</v>
      </c>
      <c r="BE85" s="348">
        <f t="shared" si="132"/>
        <v>3.3239624445544944E-2</v>
      </c>
      <c r="BK85" s="18"/>
      <c r="BL85" s="19"/>
    </row>
    <row r="86" spans="1:64" x14ac:dyDescent="0.25">
      <c r="G86">
        <v>77</v>
      </c>
      <c r="H86" s="531">
        <f t="shared" si="85"/>
        <v>6.6</v>
      </c>
      <c r="I86" s="4">
        <f t="shared" si="86"/>
        <v>1</v>
      </c>
      <c r="J86" s="348">
        <f t="shared" si="116"/>
        <v>1.155</v>
      </c>
      <c r="K86" s="348">
        <f t="shared" si="87"/>
        <v>1.155</v>
      </c>
      <c r="L86" s="4">
        <f t="shared" si="88"/>
        <v>0.64166666666666672</v>
      </c>
      <c r="M86" s="348">
        <f t="shared" si="89"/>
        <v>0.5041961928927684</v>
      </c>
      <c r="N86" s="4">
        <f t="shared" si="90"/>
        <v>0.59987191592724232</v>
      </c>
      <c r="O86" s="4">
        <f t="shared" si="117"/>
        <v>1.4549359579636212</v>
      </c>
      <c r="P86" s="4">
        <f t="shared" si="118"/>
        <v>0.85506404203637887</v>
      </c>
      <c r="Q86" s="4">
        <f t="shared" si="91"/>
        <v>0</v>
      </c>
      <c r="R86" s="4">
        <f t="shared" si="119"/>
        <v>1.167909325658397</v>
      </c>
      <c r="S86" s="348">
        <f t="shared" si="92"/>
        <v>4.7740426753594811E-3</v>
      </c>
      <c r="T86" s="348">
        <f t="shared" si="93"/>
        <v>0.2</v>
      </c>
      <c r="U86" s="348">
        <f t="shared" si="94"/>
        <v>0.20485228055772167</v>
      </c>
      <c r="V86" s="4">
        <f t="shared" si="120"/>
        <v>0.17316810606994495</v>
      </c>
      <c r="W86" s="348">
        <f t="shared" si="121"/>
        <v>5.9974385919703419E-5</v>
      </c>
      <c r="X86" s="348">
        <f t="shared" si="122"/>
        <v>5.9974385919703419E-5</v>
      </c>
      <c r="Y86" s="4">
        <f t="shared" si="123"/>
        <v>0.58393409787904216</v>
      </c>
      <c r="Z86" s="348">
        <f t="shared" si="124"/>
        <v>3.4097903066581081E-4</v>
      </c>
      <c r="AA86" s="525">
        <f t="shared" si="125"/>
        <v>3.4097903066581081E-4</v>
      </c>
      <c r="AB86" s="348">
        <f t="shared" si="126"/>
        <v>0.82929473334253934</v>
      </c>
      <c r="AC86" s="348">
        <f t="shared" si="95"/>
        <v>8.2527570569960809E-3</v>
      </c>
      <c r="AD86" s="348">
        <f t="shared" si="96"/>
        <v>1.18237210663945E-2</v>
      </c>
      <c r="AE86" s="348">
        <f t="shared" si="97"/>
        <v>7.8115712399999981E-2</v>
      </c>
      <c r="AF86" s="348">
        <f t="shared" si="98"/>
        <v>0</v>
      </c>
      <c r="AG86" s="348">
        <f t="shared" si="99"/>
        <v>9.8328519395624731E-2</v>
      </c>
      <c r="AH86" s="348">
        <f t="shared" si="100"/>
        <v>0.82236393294585719</v>
      </c>
      <c r="AI86" s="348">
        <f t="shared" si="101"/>
        <v>2.7727579966617308E-3</v>
      </c>
      <c r="AJ86" s="348">
        <f t="shared" si="102"/>
        <v>9.1837838399999993E-3</v>
      </c>
      <c r="AK86" s="348">
        <f t="shared" si="103"/>
        <v>1.1961941516894371E-2</v>
      </c>
      <c r="AL86" s="348">
        <f t="shared" si="104"/>
        <v>9.1837838399999993E-3</v>
      </c>
      <c r="AM86" s="348">
        <f t="shared" si="105"/>
        <v>0.12163827984000002</v>
      </c>
      <c r="AN86" s="348">
        <f t="shared" si="106"/>
        <v>3.4100304823996293E-2</v>
      </c>
      <c r="AO86" s="348">
        <f t="shared" si="107"/>
        <v>1.452E-5</v>
      </c>
      <c r="AP86" s="348">
        <f t="shared" si="108"/>
        <v>6.6937199999999988E-2</v>
      </c>
      <c r="AQ86" s="348">
        <f t="shared" si="109"/>
        <v>4.7164980923076916E-2</v>
      </c>
      <c r="AR86" s="348">
        <f t="shared" si="110"/>
        <v>2.1419903999999993E-2</v>
      </c>
      <c r="AS86" s="348">
        <f t="shared" si="133"/>
        <v>6.6951719999999992E-2</v>
      </c>
      <c r="AT86" s="348">
        <f t="shared" si="111"/>
        <v>0.5474177833908227</v>
      </c>
      <c r="AU86">
        <f t="shared" si="112"/>
        <v>3.8114999999999997</v>
      </c>
      <c r="AV86" s="526">
        <f t="shared" si="127"/>
        <v>0.87441429029088413</v>
      </c>
      <c r="AW86" s="534">
        <f t="shared" si="113"/>
        <v>7.5016109317810402</v>
      </c>
      <c r="AX86" s="534">
        <f t="shared" si="114"/>
        <v>2.1205747562686414</v>
      </c>
      <c r="AY86" s="9"/>
      <c r="AZ86" s="4">
        <f t="shared" si="128"/>
        <v>87.441429029088411</v>
      </c>
      <c r="BA86" s="348">
        <f t="shared" si="115"/>
        <v>0.20485228055772167</v>
      </c>
      <c r="BB86" s="348">
        <f t="shared" si="129"/>
        <v>0.23192874075251912</v>
      </c>
      <c r="BC86" s="348">
        <f t="shared" si="130"/>
        <v>0.17860978409002476</v>
      </c>
      <c r="BD86" s="348">
        <f t="shared" si="131"/>
        <v>5.2102573864094379E-2</v>
      </c>
      <c r="BE86" s="348">
        <f t="shared" si="132"/>
        <v>3.4100304823996293E-2</v>
      </c>
      <c r="BK86" s="18"/>
      <c r="BL86" s="19"/>
    </row>
    <row r="87" spans="1:64" x14ac:dyDescent="0.25">
      <c r="G87">
        <v>78</v>
      </c>
      <c r="H87" s="531">
        <f t="shared" si="85"/>
        <v>6.6</v>
      </c>
      <c r="I87" s="4">
        <f t="shared" si="86"/>
        <v>1</v>
      </c>
      <c r="J87" s="348">
        <f t="shared" si="116"/>
        <v>1.17</v>
      </c>
      <c r="K87" s="348">
        <f t="shared" si="87"/>
        <v>1.17</v>
      </c>
      <c r="L87" s="4">
        <f t="shared" si="88"/>
        <v>0.65</v>
      </c>
      <c r="M87" s="348">
        <f t="shared" si="89"/>
        <v>0.50425052420639438</v>
      </c>
      <c r="N87" s="4">
        <f t="shared" si="90"/>
        <v>0.59989405827855424</v>
      </c>
      <c r="O87" s="4">
        <f t="shared" si="117"/>
        <v>1.4699470291392771</v>
      </c>
      <c r="P87" s="4">
        <f t="shared" si="118"/>
        <v>0.87005297086072275</v>
      </c>
      <c r="Q87" s="4">
        <f t="shared" si="91"/>
        <v>0</v>
      </c>
      <c r="R87" s="4">
        <f t="shared" si="119"/>
        <v>1.182746552209373</v>
      </c>
      <c r="S87" s="348">
        <f t="shared" si="92"/>
        <v>4.8961129236710565E-3</v>
      </c>
      <c r="T87" s="348">
        <f t="shared" si="93"/>
        <v>0.2</v>
      </c>
      <c r="U87" s="348">
        <f t="shared" si="94"/>
        <v>0.20497639993173133</v>
      </c>
      <c r="V87" s="4">
        <f t="shared" si="120"/>
        <v>0.17317449801619017</v>
      </c>
      <c r="W87" s="348">
        <f t="shared" si="121"/>
        <v>5.9978813526318902E-5</v>
      </c>
      <c r="X87" s="348">
        <f t="shared" si="122"/>
        <v>5.9978813526318902E-5</v>
      </c>
      <c r="Y87" s="4">
        <f t="shared" si="123"/>
        <v>0.59135190708865404</v>
      </c>
      <c r="Z87" s="348">
        <f t="shared" si="124"/>
        <v>3.4969707801738817E-4</v>
      </c>
      <c r="AA87" s="525">
        <f t="shared" si="125"/>
        <v>3.4969707801738817E-4</v>
      </c>
      <c r="AB87" s="348">
        <f t="shared" si="126"/>
        <v>0.83987541734896309</v>
      </c>
      <c r="AC87" s="348">
        <f t="shared" si="95"/>
        <v>8.464688600005139E-3</v>
      </c>
      <c r="AD87" s="348">
        <f t="shared" si="96"/>
        <v>1.1977275885438586E-2</v>
      </c>
      <c r="AE87" s="348">
        <f t="shared" si="97"/>
        <v>7.8115712399999981E-2</v>
      </c>
      <c r="AF87" s="348">
        <f t="shared" si="98"/>
        <v>0</v>
      </c>
      <c r="AG87" s="348">
        <f t="shared" si="99"/>
        <v>9.8698032167542624E-2</v>
      </c>
      <c r="AH87" s="348">
        <f t="shared" si="100"/>
        <v>0.83276568739115564</v>
      </c>
      <c r="AI87" s="348">
        <f t="shared" si="101"/>
        <v>2.8433446293938615E-3</v>
      </c>
      <c r="AJ87" s="348">
        <f t="shared" si="102"/>
        <v>9.3030537599999973E-3</v>
      </c>
      <c r="AK87" s="348">
        <f t="shared" si="103"/>
        <v>1.215202351861739E-2</v>
      </c>
      <c r="AL87" s="348">
        <f t="shared" si="104"/>
        <v>9.3030537599999973E-3</v>
      </c>
      <c r="AM87" s="348">
        <f t="shared" si="105"/>
        <v>0.12321799775999998</v>
      </c>
      <c r="AN87" s="348">
        <f t="shared" si="106"/>
        <v>3.4972235169078977E-2</v>
      </c>
      <c r="AO87" s="348">
        <f t="shared" si="107"/>
        <v>1.452E-5</v>
      </c>
      <c r="AP87" s="348">
        <f t="shared" si="108"/>
        <v>6.6937199999999988E-2</v>
      </c>
      <c r="AQ87" s="348">
        <f t="shared" si="109"/>
        <v>4.7164980923076916E-2</v>
      </c>
      <c r="AR87" s="348">
        <f t="shared" si="110"/>
        <v>2.1419903999999993E-2</v>
      </c>
      <c r="AS87" s="348">
        <f t="shared" si="133"/>
        <v>6.6951719999999992E-2</v>
      </c>
      <c r="AT87" s="348">
        <f t="shared" si="111"/>
        <v>0.55068113819851405</v>
      </c>
      <c r="AU87">
        <f t="shared" si="112"/>
        <v>3.8609999999999998</v>
      </c>
      <c r="AV87" s="526">
        <f t="shared" si="127"/>
        <v>0.87517657760202916</v>
      </c>
      <c r="AW87" s="534">
        <f t="shared" si="113"/>
        <v>7.5609202489439893</v>
      </c>
      <c r="AX87" s="534">
        <f t="shared" si="114"/>
        <v>2.1495282851222877</v>
      </c>
      <c r="AY87" s="9"/>
      <c r="AZ87" s="4">
        <f t="shared" si="128"/>
        <v>87.517657760202923</v>
      </c>
      <c r="BA87" s="348">
        <f t="shared" si="115"/>
        <v>0.20497639993173133</v>
      </c>
      <c r="BB87" s="348">
        <f t="shared" si="129"/>
        <v>0.23406805344616</v>
      </c>
      <c r="BC87" s="348">
        <f t="shared" si="130"/>
        <v>0.18002191068914261</v>
      </c>
      <c r="BD87" s="348">
        <f t="shared" si="131"/>
        <v>5.2813962779417384E-2</v>
      </c>
      <c r="BE87" s="348">
        <f t="shared" si="132"/>
        <v>3.4972235169078977E-2</v>
      </c>
      <c r="BK87" s="18"/>
      <c r="BL87" s="19"/>
    </row>
    <row r="88" spans="1:64" x14ac:dyDescent="0.25">
      <c r="G88">
        <v>79</v>
      </c>
      <c r="H88" s="531">
        <f t="shared" si="85"/>
        <v>6.6</v>
      </c>
      <c r="I88" s="4">
        <f t="shared" si="86"/>
        <v>1</v>
      </c>
      <c r="J88" s="348">
        <f t="shared" si="116"/>
        <v>1.1850000000000001</v>
      </c>
      <c r="K88" s="348">
        <f t="shared" si="87"/>
        <v>1.1850000000000001</v>
      </c>
      <c r="L88" s="4">
        <f t="shared" si="88"/>
        <v>0.65833333333333333</v>
      </c>
      <c r="M88" s="348">
        <f t="shared" si="89"/>
        <v>0.50430485130992142</v>
      </c>
      <c r="N88" s="4">
        <f t="shared" si="90"/>
        <v>0.59991618646336198</v>
      </c>
      <c r="O88" s="4">
        <f t="shared" si="117"/>
        <v>1.484958093231681</v>
      </c>
      <c r="P88" s="4">
        <f t="shared" si="118"/>
        <v>0.88504190676831906</v>
      </c>
      <c r="Q88" s="4">
        <f t="shared" si="91"/>
        <v>0</v>
      </c>
      <c r="R88" s="4">
        <f t="shared" si="119"/>
        <v>1.1975878336187826</v>
      </c>
      <c r="S88" s="348">
        <f t="shared" si="92"/>
        <v>5.0197581673110513E-3</v>
      </c>
      <c r="T88" s="348">
        <f t="shared" si="93"/>
        <v>0.2</v>
      </c>
      <c r="U88" s="348">
        <f t="shared" si="94"/>
        <v>0.20510212321196114</v>
      </c>
      <c r="V88" s="4">
        <f t="shared" si="120"/>
        <v>0.17318088587291788</v>
      </c>
      <c r="W88" s="348">
        <f t="shared" si="121"/>
        <v>5.9983238463457217E-5</v>
      </c>
      <c r="X88" s="348">
        <f t="shared" si="122"/>
        <v>5.9983238463457217E-5</v>
      </c>
      <c r="Y88" s="4">
        <f t="shared" si="123"/>
        <v>0.59877172300598491</v>
      </c>
      <c r="Z88" s="348">
        <f t="shared" si="124"/>
        <v>3.585275762715559E-4</v>
      </c>
      <c r="AA88" s="525">
        <f t="shared" si="125"/>
        <v>3.585275762715559E-4</v>
      </c>
      <c r="AB88" s="348">
        <f t="shared" si="126"/>
        <v>0.8504601101215008</v>
      </c>
      <c r="AC88" s="348">
        <f t="shared" si="95"/>
        <v>8.6793887868945041E-3</v>
      </c>
      <c r="AD88" s="348">
        <f t="shared" si="96"/>
        <v>1.2130830704482669E-2</v>
      </c>
      <c r="AE88" s="348">
        <f t="shared" si="97"/>
        <v>7.8115712399999981E-2</v>
      </c>
      <c r="AF88" s="348">
        <f t="shared" si="98"/>
        <v>0</v>
      </c>
      <c r="AG88" s="348">
        <f t="shared" si="99"/>
        <v>9.9070390124147506E-2</v>
      </c>
      <c r="AH88" s="348">
        <f t="shared" si="100"/>
        <v>0.84316915285359784</v>
      </c>
      <c r="AI88" s="348">
        <f t="shared" si="101"/>
        <v>2.9148303033278001E-3</v>
      </c>
      <c r="AJ88" s="348">
        <f t="shared" si="102"/>
        <v>9.4223236799999988E-3</v>
      </c>
      <c r="AK88" s="348">
        <f t="shared" si="103"/>
        <v>1.2343011166397289E-2</v>
      </c>
      <c r="AL88" s="348">
        <f t="shared" si="104"/>
        <v>9.4223236799999988E-3</v>
      </c>
      <c r="AM88" s="348">
        <f t="shared" si="105"/>
        <v>0.12479771567999998</v>
      </c>
      <c r="AN88" s="348">
        <f t="shared" si="106"/>
        <v>3.5855415480793226E-2</v>
      </c>
      <c r="AO88" s="348">
        <f t="shared" si="107"/>
        <v>1.452E-5</v>
      </c>
      <c r="AP88" s="348">
        <f t="shared" si="108"/>
        <v>6.6937199999999988E-2</v>
      </c>
      <c r="AQ88" s="348">
        <f t="shared" si="109"/>
        <v>4.7164980923076916E-2</v>
      </c>
      <c r="AR88" s="348">
        <f t="shared" si="110"/>
        <v>2.1419903999999993E-2</v>
      </c>
      <c r="AS88" s="348">
        <f t="shared" si="133"/>
        <v>6.6951719999999992E-2</v>
      </c>
      <c r="AT88" s="348">
        <f t="shared" si="111"/>
        <v>0.55396121015803412</v>
      </c>
      <c r="AU88">
        <f t="shared" si="112"/>
        <v>3.9104999999999999</v>
      </c>
      <c r="AV88" s="526">
        <f t="shared" si="127"/>
        <v>0.87591756673849008</v>
      </c>
      <c r="AW88" s="534">
        <f t="shared" si="113"/>
        <v>7.6203490638637943</v>
      </c>
      <c r="AX88" s="534">
        <f t="shared" si="114"/>
        <v>2.1785186737704496</v>
      </c>
      <c r="AY88" s="9"/>
      <c r="AZ88" s="4">
        <f t="shared" si="128"/>
        <v>87.591756673849005</v>
      </c>
      <c r="BA88" s="348">
        <f t="shared" si="115"/>
        <v>0.20510212321196114</v>
      </c>
      <c r="BB88" s="348">
        <f t="shared" si="129"/>
        <v>0.23621111697054475</v>
      </c>
      <c r="BC88" s="348">
        <f t="shared" si="130"/>
        <v>0.18143688247294748</v>
      </c>
      <c r="BD88" s="348">
        <f t="shared" si="131"/>
        <v>5.3526257340797287E-2</v>
      </c>
      <c r="BE88" s="348">
        <f t="shared" si="132"/>
        <v>3.5855415480793226E-2</v>
      </c>
      <c r="BK88" s="18"/>
      <c r="BL88" s="19"/>
    </row>
    <row r="89" spans="1:64" x14ac:dyDescent="0.25">
      <c r="G89">
        <v>80</v>
      </c>
      <c r="H89" s="531">
        <f t="shared" si="85"/>
        <v>6.6</v>
      </c>
      <c r="I89" s="4">
        <f t="shared" si="86"/>
        <v>1</v>
      </c>
      <c r="J89" s="348">
        <f t="shared" si="116"/>
        <v>1.2</v>
      </c>
      <c r="K89" s="348">
        <f t="shared" si="87"/>
        <v>1.2</v>
      </c>
      <c r="L89" s="4">
        <f t="shared" si="88"/>
        <v>0.66666666666666663</v>
      </c>
      <c r="M89" s="348">
        <f t="shared" si="89"/>
        <v>0.50435917420383891</v>
      </c>
      <c r="N89" s="4">
        <f t="shared" si="90"/>
        <v>0.59993830048331231</v>
      </c>
      <c r="O89" s="4">
        <f t="shared" si="117"/>
        <v>1.4999691502416561</v>
      </c>
      <c r="P89" s="4">
        <f t="shared" si="118"/>
        <v>0.9000308497583438</v>
      </c>
      <c r="Q89" s="4">
        <f t="shared" si="91"/>
        <v>0</v>
      </c>
      <c r="R89" s="4">
        <f t="shared" si="119"/>
        <v>1.2124330209811869</v>
      </c>
      <c r="S89" s="348">
        <f t="shared" si="92"/>
        <v>5.1449784062794846E-3</v>
      </c>
      <c r="T89" s="348">
        <f t="shared" si="93"/>
        <v>0.2</v>
      </c>
      <c r="U89" s="348">
        <f t="shared" si="94"/>
        <v>0.20522945049356925</v>
      </c>
      <c r="V89" s="4">
        <f t="shared" si="120"/>
        <v>0.17318726964060349</v>
      </c>
      <c r="W89" s="348">
        <f t="shared" si="121"/>
        <v>5.99876607311342E-5</v>
      </c>
      <c r="X89" s="348">
        <f t="shared" si="122"/>
        <v>5.99876607311342E-5</v>
      </c>
      <c r="Y89" s="4">
        <f t="shared" si="123"/>
        <v>0.60619347091585596</v>
      </c>
      <c r="Z89" s="348">
        <f t="shared" si="124"/>
        <v>3.6747052418101273E-4</v>
      </c>
      <c r="AA89" s="525">
        <f t="shared" si="125"/>
        <v>3.6747052418101273E-4</v>
      </c>
      <c r="AB89" s="348">
        <f t="shared" si="126"/>
        <v>0.86104870615309292</v>
      </c>
      <c r="AC89" s="348">
        <f t="shared" si="95"/>
        <v>8.8968584924149843E-3</v>
      </c>
      <c r="AD89" s="348">
        <f t="shared" si="96"/>
        <v>1.2284385523526753E-2</v>
      </c>
      <c r="AE89" s="348">
        <f t="shared" si="97"/>
        <v>7.8115712399999981E-2</v>
      </c>
      <c r="AF89" s="348">
        <f t="shared" si="98"/>
        <v>0</v>
      </c>
      <c r="AG89" s="348">
        <f t="shared" si="99"/>
        <v>9.9445594984835767E-2</v>
      </c>
      <c r="AH89" s="348">
        <f t="shared" si="100"/>
        <v>0.85357422407055594</v>
      </c>
      <c r="AI89" s="348">
        <f t="shared" si="101"/>
        <v>2.9872147195903714E-3</v>
      </c>
      <c r="AJ89" s="348">
        <f t="shared" si="102"/>
        <v>9.5415935999999986E-3</v>
      </c>
      <c r="AK89" s="348">
        <f t="shared" si="103"/>
        <v>1.253490427614192E-2</v>
      </c>
      <c r="AL89" s="348">
        <f t="shared" si="104"/>
        <v>9.5415935999999986E-3</v>
      </c>
      <c r="AM89" s="348">
        <f t="shared" si="105"/>
        <v>0.12637743360000001</v>
      </c>
      <c r="AN89" s="348">
        <f t="shared" si="106"/>
        <v>3.6749845759139178E-2</v>
      </c>
      <c r="AO89" s="348">
        <f t="shared" si="107"/>
        <v>1.452E-5</v>
      </c>
      <c r="AP89" s="348">
        <f t="shared" si="108"/>
        <v>6.6937199999999988E-2</v>
      </c>
      <c r="AQ89" s="348">
        <f t="shared" si="109"/>
        <v>4.7164980923076916E-2</v>
      </c>
      <c r="AR89" s="348">
        <f t="shared" si="110"/>
        <v>2.1419903999999993E-2</v>
      </c>
      <c r="AS89" s="348">
        <f t="shared" si="133"/>
        <v>6.6951719999999992E-2</v>
      </c>
      <c r="AT89" s="348">
        <f t="shared" si="111"/>
        <v>0.55725800089859823</v>
      </c>
      <c r="AU89">
        <f t="shared" si="112"/>
        <v>3.9599999999999995</v>
      </c>
      <c r="AV89" s="526">
        <f t="shared" si="127"/>
        <v>0.8766379957071867</v>
      </c>
      <c r="AW89" s="534">
        <f t="shared" si="113"/>
        <v>7.6798974487551019</v>
      </c>
      <c r="AX89" s="534">
        <f t="shared" si="114"/>
        <v>2.2075459147205763</v>
      </c>
      <c r="AY89" s="9"/>
      <c r="AZ89" s="4">
        <f t="shared" si="128"/>
        <v>87.663799570718666</v>
      </c>
      <c r="BA89" s="348">
        <f t="shared" si="115"/>
        <v>0.20522945049356925</v>
      </c>
      <c r="BB89" s="348">
        <f t="shared" si="129"/>
        <v>0.23835793286097767</v>
      </c>
      <c r="BC89" s="348">
        <f t="shared" si="130"/>
        <v>0.18285470116083577</v>
      </c>
      <c r="BD89" s="348">
        <f t="shared" si="131"/>
        <v>5.4239457364141923E-2</v>
      </c>
      <c r="BE89" s="348">
        <f t="shared" si="132"/>
        <v>3.6749845759139178E-2</v>
      </c>
      <c r="BK89" s="18"/>
      <c r="BL89" s="19"/>
    </row>
    <row r="90" spans="1:64" x14ac:dyDescent="0.25">
      <c r="G90">
        <v>81</v>
      </c>
      <c r="H90" s="531">
        <f t="shared" si="85"/>
        <v>6.6</v>
      </c>
      <c r="I90" s="4">
        <f t="shared" si="86"/>
        <v>1</v>
      </c>
      <c r="J90" s="348">
        <f t="shared" si="116"/>
        <v>1.2150000000000001</v>
      </c>
      <c r="K90" s="348">
        <f t="shared" si="87"/>
        <v>1.2150000000000001</v>
      </c>
      <c r="L90" s="4">
        <f t="shared" si="88"/>
        <v>0.67500000000000004</v>
      </c>
      <c r="M90" s="348">
        <f t="shared" si="89"/>
        <v>0.50441349288863624</v>
      </c>
      <c r="N90" s="4">
        <f t="shared" si="90"/>
        <v>0.59996040034005149</v>
      </c>
      <c r="O90" s="4">
        <f t="shared" si="117"/>
        <v>1.5149802001700259</v>
      </c>
      <c r="P90" s="4">
        <f t="shared" si="118"/>
        <v>0.91501979982997428</v>
      </c>
      <c r="Q90" s="4">
        <f t="shared" si="91"/>
        <v>0</v>
      </c>
      <c r="R90" s="4">
        <f t="shared" si="119"/>
        <v>1.2272819725575224</v>
      </c>
      <c r="S90" s="348">
        <f t="shared" si="92"/>
        <v>5.271773640576391E-3</v>
      </c>
      <c r="T90" s="348">
        <f t="shared" si="93"/>
        <v>0.2</v>
      </c>
      <c r="U90" s="348">
        <f t="shared" si="94"/>
        <v>0.20535838187293073</v>
      </c>
      <c r="V90" s="4">
        <f t="shared" si="120"/>
        <v>0.1731936493197222</v>
      </c>
      <c r="W90" s="348">
        <f t="shared" si="121"/>
        <v>5.9992080329365817E-5</v>
      </c>
      <c r="X90" s="348">
        <f t="shared" si="122"/>
        <v>5.9992080329365817E-5</v>
      </c>
      <c r="Y90" s="4">
        <f t="shared" si="123"/>
        <v>0.61361707968635726</v>
      </c>
      <c r="Z90" s="348">
        <f t="shared" si="124"/>
        <v>3.7652592048281329E-4</v>
      </c>
      <c r="AA90" s="525">
        <f t="shared" si="125"/>
        <v>3.7652592048281329E-4</v>
      </c>
      <c r="AB90" s="348">
        <f t="shared" si="126"/>
        <v>0.8716411050035574</v>
      </c>
      <c r="AC90" s="348">
        <f t="shared" si="95"/>
        <v>9.1170985911818714E-3</v>
      </c>
      <c r="AD90" s="348">
        <f t="shared" si="96"/>
        <v>1.243794034257084E-2</v>
      </c>
      <c r="AE90" s="348">
        <f t="shared" si="97"/>
        <v>7.8115712399999981E-2</v>
      </c>
      <c r="AF90" s="348">
        <f t="shared" si="98"/>
        <v>0</v>
      </c>
      <c r="AG90" s="348">
        <f t="shared" si="99"/>
        <v>9.9823648477295718E-2</v>
      </c>
      <c r="AH90" s="348">
        <f t="shared" si="100"/>
        <v>0.86398080084736861</v>
      </c>
      <c r="AI90" s="348">
        <f t="shared" si="101"/>
        <v>3.0604975793547275E-3</v>
      </c>
      <c r="AJ90" s="348">
        <f t="shared" si="102"/>
        <v>9.6608635199999984E-3</v>
      </c>
      <c r="AK90" s="348">
        <f t="shared" si="103"/>
        <v>1.2727702664554974E-2</v>
      </c>
      <c r="AL90" s="348">
        <f t="shared" si="104"/>
        <v>9.6608635199999984E-3</v>
      </c>
      <c r="AM90" s="348">
        <f t="shared" si="105"/>
        <v>0.12795715152000001</v>
      </c>
      <c r="AN90" s="348">
        <f t="shared" si="106"/>
        <v>3.7655526004117083E-2</v>
      </c>
      <c r="AO90" s="348">
        <f t="shared" si="107"/>
        <v>1.452E-5</v>
      </c>
      <c r="AP90" s="348">
        <f t="shared" si="108"/>
        <v>6.6937199999999988E-2</v>
      </c>
      <c r="AQ90" s="348">
        <f t="shared" si="109"/>
        <v>4.7164980923076916E-2</v>
      </c>
      <c r="AR90" s="348">
        <f t="shared" si="110"/>
        <v>2.1419903999999993E-2</v>
      </c>
      <c r="AS90" s="348">
        <f t="shared" si="133"/>
        <v>6.6951719999999992E-2</v>
      </c>
      <c r="AT90" s="348">
        <f t="shared" si="111"/>
        <v>0.56057151205971067</v>
      </c>
      <c r="AU90">
        <f t="shared" si="112"/>
        <v>4.0095000000000001</v>
      </c>
      <c r="AV90" s="526">
        <f t="shared" si="127"/>
        <v>0.87733856886474337</v>
      </c>
      <c r="AW90" s="534">
        <f t="shared" si="113"/>
        <v>7.7395654761808199</v>
      </c>
      <c r="AX90" s="534">
        <f t="shared" si="114"/>
        <v>2.2366100005125076</v>
      </c>
      <c r="AY90" s="9"/>
      <c r="AZ90" s="4">
        <f t="shared" si="128"/>
        <v>87.733856886474342</v>
      </c>
      <c r="BA90" s="348">
        <f t="shared" si="115"/>
        <v>0.20535838187293073</v>
      </c>
      <c r="BB90" s="348">
        <f t="shared" si="129"/>
        <v>0.2405085026618507</v>
      </c>
      <c r="BC90" s="348">
        <f t="shared" si="130"/>
        <v>0.18427536848049572</v>
      </c>
      <c r="BD90" s="348">
        <f t="shared" si="131"/>
        <v>5.4953562666154976E-2</v>
      </c>
      <c r="BE90" s="348">
        <f t="shared" si="132"/>
        <v>3.7655526004117083E-2</v>
      </c>
      <c r="BK90" s="18"/>
      <c r="BL90" s="19"/>
    </row>
    <row r="91" spans="1:64" x14ac:dyDescent="0.25">
      <c r="G91">
        <v>82</v>
      </c>
      <c r="H91" s="531">
        <f t="shared" si="85"/>
        <v>6.6</v>
      </c>
      <c r="I91" s="4">
        <f t="shared" si="86"/>
        <v>1</v>
      </c>
      <c r="J91" s="348">
        <f t="shared" si="116"/>
        <v>1.23</v>
      </c>
      <c r="K91" s="348">
        <f t="shared" si="87"/>
        <v>1.23</v>
      </c>
      <c r="L91" s="4">
        <f t="shared" si="88"/>
        <v>0.68333333333333346</v>
      </c>
      <c r="M91" s="348">
        <f t="shared" si="89"/>
        <v>0.50446780736480246</v>
      </c>
      <c r="N91" s="4">
        <f t="shared" si="90"/>
        <v>0.59998248603522542</v>
      </c>
      <c r="O91" s="4">
        <f t="shared" si="117"/>
        <v>1.5299912430176126</v>
      </c>
      <c r="P91" s="4">
        <f t="shared" si="118"/>
        <v>0.93000875698238727</v>
      </c>
      <c r="Q91" s="4">
        <f t="shared" si="91"/>
        <v>0</v>
      </c>
      <c r="R91" s="4">
        <f t="shared" si="119"/>
        <v>1.2421345533512398</v>
      </c>
      <c r="S91" s="348">
        <f t="shared" si="92"/>
        <v>5.4001438702017939E-3</v>
      </c>
      <c r="T91" s="348">
        <f t="shared" si="93"/>
        <v>0.2</v>
      </c>
      <c r="U91" s="348">
        <f t="shared" si="94"/>
        <v>0.20548891744763775</v>
      </c>
      <c r="V91" s="4">
        <f t="shared" si="120"/>
        <v>0.17320002491074915</v>
      </c>
      <c r="W91" s="348">
        <f t="shared" si="121"/>
        <v>5.9996497258168255E-5</v>
      </c>
      <c r="X91" s="348">
        <f t="shared" si="122"/>
        <v>5.9996497258168255E-5</v>
      </c>
      <c r="Y91" s="4">
        <f t="shared" si="123"/>
        <v>0.62104248155691688</v>
      </c>
      <c r="Z91" s="348">
        <f t="shared" si="124"/>
        <v>3.8569376389837348E-4</v>
      </c>
      <c r="AA91" s="525">
        <f t="shared" si="125"/>
        <v>3.8569376389837348E-4</v>
      </c>
      <c r="AB91" s="348">
        <f t="shared" si="126"/>
        <v>0.88223721099991459</v>
      </c>
      <c r="AC91" s="348">
        <f t="shared" si="95"/>
        <v>9.3401099576748935E-3</v>
      </c>
      <c r="AD91" s="348">
        <f t="shared" si="96"/>
        <v>1.2591495161614924E-2</v>
      </c>
      <c r="AE91" s="348">
        <f t="shared" si="97"/>
        <v>7.8115712399999981E-2</v>
      </c>
      <c r="AF91" s="348">
        <f t="shared" si="98"/>
        <v>0</v>
      </c>
      <c r="AG91" s="348">
        <f t="shared" si="99"/>
        <v>0.10020455233752126</v>
      </c>
      <c r="AH91" s="348">
        <f t="shared" si="100"/>
        <v>0.87438878775758344</v>
      </c>
      <c r="AI91" s="348">
        <f t="shared" si="101"/>
        <v>3.1346785838403226E-3</v>
      </c>
      <c r="AJ91" s="348">
        <f t="shared" si="102"/>
        <v>9.7801334399999981E-3</v>
      </c>
      <c r="AK91" s="348">
        <f t="shared" si="103"/>
        <v>1.2921406149135287E-2</v>
      </c>
      <c r="AL91" s="348">
        <f t="shared" si="104"/>
        <v>9.7801334399999981E-3</v>
      </c>
      <c r="AM91" s="348">
        <f t="shared" si="105"/>
        <v>0.12953686943999995</v>
      </c>
      <c r="AN91" s="348">
        <f t="shared" si="106"/>
        <v>3.8572456215727101E-2</v>
      </c>
      <c r="AO91" s="348">
        <f t="shared" si="107"/>
        <v>1.452E-5</v>
      </c>
      <c r="AP91" s="348">
        <f t="shared" si="108"/>
        <v>6.6937199999999988E-2</v>
      </c>
      <c r="AQ91" s="348">
        <f t="shared" si="109"/>
        <v>4.7164980923076916E-2</v>
      </c>
      <c r="AR91" s="348">
        <f t="shared" si="110"/>
        <v>2.1419903999999993E-2</v>
      </c>
      <c r="AS91" s="348">
        <f t="shared" si="133"/>
        <v>6.6951719999999992E-2</v>
      </c>
      <c r="AT91" s="348">
        <f t="shared" si="111"/>
        <v>0.56390174529117798</v>
      </c>
      <c r="AU91">
        <f t="shared" si="112"/>
        <v>4.0590000000000002</v>
      </c>
      <c r="AV91" s="526">
        <f t="shared" si="127"/>
        <v>0.87801995881362616</v>
      </c>
      <c r="AW91" s="534">
        <f t="shared" si="113"/>
        <v>7.7993532190526924</v>
      </c>
      <c r="AX91" s="534">
        <f t="shared" si="114"/>
        <v>2.2657109237184456</v>
      </c>
      <c r="AY91" s="9"/>
      <c r="AZ91" s="4">
        <f t="shared" si="128"/>
        <v>87.801995881362615</v>
      </c>
      <c r="BA91" s="348">
        <f t="shared" si="115"/>
        <v>0.20548891744763775</v>
      </c>
      <c r="BB91" s="348">
        <f t="shared" si="129"/>
        <v>0.2426628279266565</v>
      </c>
      <c r="BC91" s="348">
        <f t="shared" si="130"/>
        <v>0.18569888616792124</v>
      </c>
      <c r="BD91" s="348">
        <f t="shared" si="131"/>
        <v>5.5668573064335272E-2</v>
      </c>
      <c r="BE91" s="348">
        <f t="shared" si="132"/>
        <v>3.8572456215727101E-2</v>
      </c>
      <c r="BK91" s="18"/>
      <c r="BL91" s="19"/>
    </row>
    <row r="92" spans="1:64" x14ac:dyDescent="0.25">
      <c r="G92">
        <v>83</v>
      </c>
      <c r="H92" s="531">
        <f t="shared" si="85"/>
        <v>6.6</v>
      </c>
      <c r="I92" s="4">
        <f t="shared" si="86"/>
        <v>1</v>
      </c>
      <c r="J92" s="348">
        <f t="shared" si="116"/>
        <v>1.2450000000000001</v>
      </c>
      <c r="K92" s="348">
        <f t="shared" si="87"/>
        <v>1.2450000000000001</v>
      </c>
      <c r="L92" s="4">
        <f t="shared" si="88"/>
        <v>0.69166666666666676</v>
      </c>
      <c r="M92" s="348">
        <f t="shared" si="89"/>
        <v>0.50452211763282662</v>
      </c>
      <c r="N92" s="4">
        <f t="shared" si="90"/>
        <v>0.6000045575704801</v>
      </c>
      <c r="O92" s="4">
        <f t="shared" si="117"/>
        <v>1.5450022787852402</v>
      </c>
      <c r="P92" s="4">
        <f t="shared" si="118"/>
        <v>0.94499772121476</v>
      </c>
      <c r="Q92" s="4">
        <f t="shared" si="91"/>
        <v>0</v>
      </c>
      <c r="R92" s="4">
        <f t="shared" si="119"/>
        <v>1.2569906347140296</v>
      </c>
      <c r="S92" s="348">
        <f t="shared" si="92"/>
        <v>5.5300890951557264E-3</v>
      </c>
      <c r="T92" s="348">
        <f t="shared" si="93"/>
        <v>0.2</v>
      </c>
      <c r="U92" s="348">
        <f t="shared" si="94"/>
        <v>0.20562105731649977</v>
      </c>
      <c r="V92" s="4">
        <f t="shared" si="120"/>
        <v>0.1732063964141595</v>
      </c>
      <c r="W92" s="348">
        <f t="shared" si="121"/>
        <v>6.0000911517557934E-5</v>
      </c>
      <c r="X92" s="348">
        <f t="shared" si="122"/>
        <v>6.0000911517557934E-5</v>
      </c>
      <c r="Y92" s="4">
        <f t="shared" si="123"/>
        <v>0.62846961194116413</v>
      </c>
      <c r="Z92" s="348">
        <f t="shared" si="124"/>
        <v>3.9497405313347747E-4</v>
      </c>
      <c r="AA92" s="525">
        <f t="shared" si="125"/>
        <v>3.9497405313347747E-4</v>
      </c>
      <c r="AB92" s="348">
        <f t="shared" si="126"/>
        <v>0.89283693295763211</v>
      </c>
      <c r="AC92" s="348">
        <f t="shared" si="95"/>
        <v>9.5658934662382952E-3</v>
      </c>
      <c r="AD92" s="348">
        <f t="shared" si="96"/>
        <v>1.2745049980659008E-2</v>
      </c>
      <c r="AE92" s="348">
        <f t="shared" si="97"/>
        <v>7.8115712399999981E-2</v>
      </c>
      <c r="AF92" s="348">
        <f t="shared" si="98"/>
        <v>0</v>
      </c>
      <c r="AG92" s="348">
        <f t="shared" si="99"/>
        <v>0.10058830830982576</v>
      </c>
      <c r="AH92" s="348">
        <f t="shared" si="100"/>
        <v>0.88479809386412445</v>
      </c>
      <c r="AI92" s="348">
        <f t="shared" si="101"/>
        <v>3.20975743431291E-3</v>
      </c>
      <c r="AJ92" s="348">
        <f t="shared" si="102"/>
        <v>9.8994033599999996E-3</v>
      </c>
      <c r="AK92" s="348">
        <f t="shared" si="103"/>
        <v>1.3116014548176212E-2</v>
      </c>
      <c r="AL92" s="348">
        <f t="shared" si="104"/>
        <v>9.8994033599999996E-3</v>
      </c>
      <c r="AM92" s="348">
        <f t="shared" si="105"/>
        <v>0.13111658736000001</v>
      </c>
      <c r="AN92" s="348">
        <f t="shared" si="106"/>
        <v>3.9500636393969474E-2</v>
      </c>
      <c r="AO92" s="348">
        <f t="shared" si="107"/>
        <v>1.452E-5</v>
      </c>
      <c r="AP92" s="348">
        <f t="shared" si="108"/>
        <v>6.6937199999999988E-2</v>
      </c>
      <c r="AQ92" s="348">
        <f t="shared" si="109"/>
        <v>4.7164980923076916E-2</v>
      </c>
      <c r="AR92" s="348">
        <f t="shared" si="110"/>
        <v>2.1419903999999993E-2</v>
      </c>
      <c r="AS92" s="348">
        <f t="shared" si="133"/>
        <v>6.6951719999999992E-2</v>
      </c>
      <c r="AT92" s="348">
        <f t="shared" si="111"/>
        <v>0.56724870225312241</v>
      </c>
      <c r="AU92">
        <f t="shared" si="112"/>
        <v>4.1085000000000003</v>
      </c>
      <c r="AV92" s="526">
        <f t="shared" si="127"/>
        <v>0.87868280817149558</v>
      </c>
      <c r="AW92" s="534">
        <f t="shared" si="113"/>
        <v>7.8592607506318819</v>
      </c>
      <c r="AX92" s="534">
        <f t="shared" si="114"/>
        <v>2.2948486769429319</v>
      </c>
      <c r="AY92" s="9"/>
      <c r="AZ92" s="4">
        <f t="shared" si="128"/>
        <v>87.868280817149554</v>
      </c>
      <c r="BA92" s="348">
        <f t="shared" si="115"/>
        <v>0.20562105731649977</v>
      </c>
      <c r="BB92" s="348">
        <f t="shared" si="129"/>
        <v>0.24482091021800198</v>
      </c>
      <c r="BC92" s="348">
        <f t="shared" si="130"/>
        <v>0.18712525596742577</v>
      </c>
      <c r="BD92" s="348">
        <f t="shared" si="131"/>
        <v>5.6384488376976211E-2</v>
      </c>
      <c r="BE92" s="348">
        <f t="shared" si="132"/>
        <v>3.9500636393969474E-2</v>
      </c>
      <c r="BK92" s="18"/>
      <c r="BL92" s="19"/>
    </row>
    <row r="93" spans="1:64" x14ac:dyDescent="0.25">
      <c r="G93">
        <v>84</v>
      </c>
      <c r="H93" s="531">
        <f t="shared" si="85"/>
        <v>6.6</v>
      </c>
      <c r="I93" s="4">
        <f t="shared" si="86"/>
        <v>1</v>
      </c>
      <c r="J93" s="348">
        <f t="shared" si="116"/>
        <v>1.26</v>
      </c>
      <c r="K93" s="348">
        <f t="shared" si="87"/>
        <v>1.26</v>
      </c>
      <c r="L93" s="4">
        <f t="shared" si="88"/>
        <v>0.7</v>
      </c>
      <c r="M93" s="348">
        <f t="shared" si="89"/>
        <v>0.50457642369319788</v>
      </c>
      <c r="N93" s="4">
        <f t="shared" si="90"/>
        <v>0.60002661494746101</v>
      </c>
      <c r="O93" s="4">
        <f t="shared" si="117"/>
        <v>1.5600133074737306</v>
      </c>
      <c r="P93" s="4">
        <f t="shared" si="118"/>
        <v>0.95998669252626945</v>
      </c>
      <c r="Q93" s="4">
        <f t="shared" si="91"/>
        <v>0</v>
      </c>
      <c r="R93" s="4">
        <f t="shared" si="119"/>
        <v>1.271850093978758</v>
      </c>
      <c r="S93" s="348">
        <f t="shared" si="92"/>
        <v>5.6616093154382152E-3</v>
      </c>
      <c r="T93" s="348">
        <f t="shared" si="93"/>
        <v>0.2</v>
      </c>
      <c r="U93" s="348">
        <f t="shared" si="94"/>
        <v>0.20575480157954373</v>
      </c>
      <c r="V93" s="4">
        <f t="shared" si="120"/>
        <v>0.17321276383042827</v>
      </c>
      <c r="W93" s="348">
        <f t="shared" si="121"/>
        <v>6.0005323107551442E-5</v>
      </c>
      <c r="X93" s="348">
        <f t="shared" si="122"/>
        <v>6.0005323107551442E-5</v>
      </c>
      <c r="Y93" s="4">
        <f t="shared" si="123"/>
        <v>0.6358984092433968</v>
      </c>
      <c r="Z93" s="348">
        <f t="shared" si="124"/>
        <v>4.0436678687828255E-4</v>
      </c>
      <c r="AA93" s="525">
        <f t="shared" si="125"/>
        <v>4.0436678687828255E-4</v>
      </c>
      <c r="AB93" s="348">
        <f t="shared" si="126"/>
        <v>0.90344018392110637</v>
      </c>
      <c r="AC93" s="348">
        <f t="shared" si="95"/>
        <v>9.7944499910808305E-3</v>
      </c>
      <c r="AD93" s="348">
        <f t="shared" si="96"/>
        <v>1.2898604799703089E-2</v>
      </c>
      <c r="AE93" s="348">
        <f t="shared" si="97"/>
        <v>7.8115712399999981E-2</v>
      </c>
      <c r="AF93" s="348">
        <f t="shared" si="98"/>
        <v>0</v>
      </c>
      <c r="AG93" s="348">
        <f t="shared" si="99"/>
        <v>0.1009749181468559</v>
      </c>
      <c r="AH93" s="348">
        <f t="shared" si="100"/>
        <v>0.89520863245970383</v>
      </c>
      <c r="AI93" s="348">
        <f t="shared" si="101"/>
        <v>3.2857338320845296E-3</v>
      </c>
      <c r="AJ93" s="348">
        <f t="shared" si="102"/>
        <v>1.0018673279999999E-2</v>
      </c>
      <c r="AK93" s="348">
        <f t="shared" si="103"/>
        <v>1.3311527680764918E-2</v>
      </c>
      <c r="AL93" s="348">
        <f t="shared" si="104"/>
        <v>1.0018673279999999E-2</v>
      </c>
      <c r="AM93" s="348">
        <f t="shared" si="105"/>
        <v>0.13269630528000001</v>
      </c>
      <c r="AN93" s="348">
        <f t="shared" si="106"/>
        <v>4.0440066538844396E-2</v>
      </c>
      <c r="AO93" s="348">
        <f t="shared" si="107"/>
        <v>1.452E-5</v>
      </c>
      <c r="AP93" s="348">
        <f t="shared" si="108"/>
        <v>6.6937199999999988E-2</v>
      </c>
      <c r="AQ93" s="348">
        <f t="shared" si="109"/>
        <v>4.7164980923076916E-2</v>
      </c>
      <c r="AR93" s="348">
        <f t="shared" si="110"/>
        <v>2.1419903999999993E-2</v>
      </c>
      <c r="AS93" s="348">
        <f t="shared" si="133"/>
        <v>6.6951719999999992E-2</v>
      </c>
      <c r="AT93" s="348">
        <f t="shared" si="111"/>
        <v>0.57061238461599484</v>
      </c>
      <c r="AU93">
        <f t="shared" si="112"/>
        <v>4.1579999999999995</v>
      </c>
      <c r="AV93" s="526">
        <f t="shared" si="127"/>
        <v>0.87932773122355778</v>
      </c>
      <c r="AW93" s="534">
        <f t="shared" si="113"/>
        <v>7.9192881445295473</v>
      </c>
      <c r="AX93" s="534">
        <f t="shared" si="114"/>
        <v>2.3240232528228124</v>
      </c>
      <c r="AY93" s="9"/>
      <c r="AZ93" s="4">
        <f t="shared" si="128"/>
        <v>87.932773122355783</v>
      </c>
      <c r="BA93" s="348">
        <f t="shared" si="115"/>
        <v>0.20575480157954373</v>
      </c>
      <c r="BB93" s="348">
        <f t="shared" si="129"/>
        <v>0.24698275110762083</v>
      </c>
      <c r="BC93" s="348">
        <f t="shared" si="130"/>
        <v>0.18855447963165589</v>
      </c>
      <c r="BD93" s="348">
        <f t="shared" si="131"/>
        <v>5.7101308423164923E-2</v>
      </c>
      <c r="BE93" s="348">
        <f t="shared" si="132"/>
        <v>4.0440066538844396E-2</v>
      </c>
      <c r="BK93" s="18"/>
      <c r="BL93" s="19"/>
    </row>
    <row r="94" spans="1:64" x14ac:dyDescent="0.25">
      <c r="G94">
        <v>85</v>
      </c>
      <c r="H94" s="531">
        <f t="shared" si="85"/>
        <v>6.6</v>
      </c>
      <c r="I94" s="4">
        <f t="shared" si="86"/>
        <v>1</v>
      </c>
      <c r="J94" s="348">
        <f t="shared" si="116"/>
        <v>1.2749999999999999</v>
      </c>
      <c r="K94" s="348">
        <f t="shared" si="87"/>
        <v>1.2749999999999999</v>
      </c>
      <c r="L94" s="4">
        <f t="shared" si="88"/>
        <v>0.70833333333333337</v>
      </c>
      <c r="M94" s="348">
        <f t="shared" si="89"/>
        <v>0.5046307255464052</v>
      </c>
      <c r="N94" s="4">
        <f t="shared" si="90"/>
        <v>0.60004865816781339</v>
      </c>
      <c r="O94" s="4">
        <f t="shared" si="117"/>
        <v>1.5750243290839065</v>
      </c>
      <c r="P94" s="4">
        <f t="shared" si="118"/>
        <v>0.97497567091609327</v>
      </c>
      <c r="Q94" s="4">
        <f t="shared" si="91"/>
        <v>0</v>
      </c>
      <c r="R94" s="4">
        <f t="shared" si="119"/>
        <v>1.2867128141174637</v>
      </c>
      <c r="S94" s="348">
        <f t="shared" si="92"/>
        <v>5.79470453104929E-3</v>
      </c>
      <c r="T94" s="348">
        <f t="shared" si="93"/>
        <v>0.2</v>
      </c>
      <c r="U94" s="348">
        <f t="shared" si="94"/>
        <v>0.20589015033801428</v>
      </c>
      <c r="V94" s="4">
        <f t="shared" si="120"/>
        <v>0.17321912716003041</v>
      </c>
      <c r="W94" s="348">
        <f t="shared" si="121"/>
        <v>6.000973202816557E-5</v>
      </c>
      <c r="X94" s="348">
        <f t="shared" si="122"/>
        <v>6.000973202816557E-5</v>
      </c>
      <c r="Y94" s="4">
        <f t="shared" si="123"/>
        <v>0.64332881468757963</v>
      </c>
      <c r="Z94" s="348">
        <f t="shared" si="124"/>
        <v>4.1387196380732617E-4</v>
      </c>
      <c r="AA94" s="525">
        <f t="shared" si="125"/>
        <v>4.1387196380732617E-4</v>
      </c>
      <c r="AB94" s="348">
        <f t="shared" si="126"/>
        <v>0.91404688092186182</v>
      </c>
      <c r="AC94" s="348">
        <f t="shared" si="95"/>
        <v>1.0025780406275811E-2</v>
      </c>
      <c r="AD94" s="348">
        <f t="shared" si="96"/>
        <v>1.3052159618747176E-2</v>
      </c>
      <c r="AE94" s="348">
        <f t="shared" si="97"/>
        <v>7.8115712399999981E-2</v>
      </c>
      <c r="AF94" s="348">
        <f t="shared" si="98"/>
        <v>0</v>
      </c>
      <c r="AG94" s="348">
        <f t="shared" si="99"/>
        <v>0.10136438360960566</v>
      </c>
      <c r="AH94" s="348">
        <f t="shared" si="100"/>
        <v>0.90562032082495725</v>
      </c>
      <c r="AI94" s="348">
        <f t="shared" si="101"/>
        <v>3.3626074785135032E-3</v>
      </c>
      <c r="AJ94" s="348">
        <f t="shared" si="102"/>
        <v>1.0137943199999997E-2</v>
      </c>
      <c r="AK94" s="348">
        <f t="shared" si="103"/>
        <v>1.3507945366781758E-2</v>
      </c>
      <c r="AL94" s="348">
        <f t="shared" si="104"/>
        <v>1.0137943199999997E-2</v>
      </c>
      <c r="AM94" s="348">
        <f t="shared" si="105"/>
        <v>0.13427602319999998</v>
      </c>
      <c r="AN94" s="348">
        <f t="shared" si="106"/>
        <v>4.1390746650352077E-2</v>
      </c>
      <c r="AO94" s="348">
        <f t="shared" si="107"/>
        <v>1.452E-5</v>
      </c>
      <c r="AP94" s="348">
        <f t="shared" si="108"/>
        <v>6.6937199999999988E-2</v>
      </c>
      <c r="AQ94" s="348">
        <f t="shared" si="109"/>
        <v>4.7164980923076916E-2</v>
      </c>
      <c r="AR94" s="348">
        <f t="shared" si="110"/>
        <v>2.1419903999999993E-2</v>
      </c>
      <c r="AS94" s="348">
        <f t="shared" si="133"/>
        <v>6.6951719999999992E-2</v>
      </c>
      <c r="AT94" s="348">
        <f t="shared" si="111"/>
        <v>0.57399279406058912</v>
      </c>
      <c r="AU94">
        <f t="shared" si="112"/>
        <v>4.2074999999999996</v>
      </c>
      <c r="AV94" s="526">
        <f t="shared" si="127"/>
        <v>0.87995531546683825</v>
      </c>
      <c r="AW94" s="534">
        <f t="shared" si="113"/>
        <v>7.9794354747074374</v>
      </c>
      <c r="AX94" s="534">
        <f t="shared" si="114"/>
        <v>2.3532346440272174</v>
      </c>
      <c r="AY94" s="9"/>
      <c r="AZ94" s="4">
        <f t="shared" si="128"/>
        <v>87.995531546683821</v>
      </c>
      <c r="BA94" s="348">
        <f t="shared" si="115"/>
        <v>0.20589015033801428</v>
      </c>
      <c r="BB94" s="348">
        <f t="shared" si="129"/>
        <v>0.24914835217638739</v>
      </c>
      <c r="BC94" s="348">
        <f t="shared" si="130"/>
        <v>0.18998655892160565</v>
      </c>
      <c r="BD94" s="348">
        <f t="shared" si="131"/>
        <v>5.7819033022781754E-2</v>
      </c>
      <c r="BE94" s="348">
        <f t="shared" si="132"/>
        <v>4.1390746650352077E-2</v>
      </c>
      <c r="BK94" s="18"/>
      <c r="BL94" s="19"/>
    </row>
    <row r="95" spans="1:64" x14ac:dyDescent="0.25">
      <c r="G95">
        <v>86</v>
      </c>
      <c r="H95" s="531">
        <f t="shared" si="85"/>
        <v>6.6</v>
      </c>
      <c r="I95" s="4">
        <f t="shared" si="86"/>
        <v>1</v>
      </c>
      <c r="J95" s="348">
        <f t="shared" si="116"/>
        <v>1.29</v>
      </c>
      <c r="K95" s="348">
        <f t="shared" si="87"/>
        <v>1.29</v>
      </c>
      <c r="L95" s="4">
        <f t="shared" si="88"/>
        <v>0.71666666666666667</v>
      </c>
      <c r="M95" s="348">
        <f t="shared" si="89"/>
        <v>0.5046850231929374</v>
      </c>
      <c r="N95" s="4">
        <f t="shared" si="90"/>
        <v>0.60007068723318235</v>
      </c>
      <c r="O95" s="4">
        <f t="shared" si="117"/>
        <v>1.5900353436165913</v>
      </c>
      <c r="P95" s="4">
        <f t="shared" si="118"/>
        <v>0.9899646563834088</v>
      </c>
      <c r="Q95" s="4">
        <f t="shared" si="91"/>
        <v>0</v>
      </c>
      <c r="R95" s="4">
        <f t="shared" si="119"/>
        <v>1.3015786834224463</v>
      </c>
      <c r="S95" s="348">
        <f t="shared" si="92"/>
        <v>5.9293747419889801E-3</v>
      </c>
      <c r="T95" s="348">
        <f t="shared" si="93"/>
        <v>0.2</v>
      </c>
      <c r="U95" s="348">
        <f t="shared" si="94"/>
        <v>0.20602710369437385</v>
      </c>
      <c r="V95" s="4">
        <f t="shared" si="120"/>
        <v>0.17322548640344079</v>
      </c>
      <c r="W95" s="348">
        <f t="shared" si="121"/>
        <v>6.0014138279417307E-5</v>
      </c>
      <c r="X95" s="348">
        <f t="shared" si="122"/>
        <v>6.0014138279417307E-5</v>
      </c>
      <c r="Y95" s="4">
        <f t="shared" si="123"/>
        <v>0.65076077215788908</v>
      </c>
      <c r="Z95" s="348">
        <f t="shared" si="124"/>
        <v>4.2348958257953202E-4</v>
      </c>
      <c r="AA95" s="525">
        <f t="shared" si="125"/>
        <v>4.2348958257953202E-4</v>
      </c>
      <c r="AB95" s="348">
        <f t="shared" si="126"/>
        <v>0.92465694475307603</v>
      </c>
      <c r="AC95" s="348">
        <f t="shared" si="95"/>
        <v>1.0259885585761117E-2</v>
      </c>
      <c r="AD95" s="348">
        <f t="shared" si="96"/>
        <v>1.320571443779126E-2</v>
      </c>
      <c r="AE95" s="348">
        <f t="shared" si="97"/>
        <v>7.8115712399999981E-2</v>
      </c>
      <c r="AF95" s="348">
        <f t="shared" si="98"/>
        <v>0</v>
      </c>
      <c r="AG95" s="348">
        <f t="shared" si="99"/>
        <v>0.10175670646743024</v>
      </c>
      <c r="AH95" s="348">
        <f t="shared" si="100"/>
        <v>0.91603308000290895</v>
      </c>
      <c r="AI95" s="348">
        <f t="shared" si="101"/>
        <v>3.4403780750044246E-3</v>
      </c>
      <c r="AJ95" s="348">
        <f t="shared" si="102"/>
        <v>1.0257213119999999E-2</v>
      </c>
      <c r="AK95" s="348">
        <f t="shared" si="103"/>
        <v>1.3705267426899625E-2</v>
      </c>
      <c r="AL95" s="348">
        <f t="shared" si="104"/>
        <v>1.0257213119999999E-2</v>
      </c>
      <c r="AM95" s="348">
        <f t="shared" si="105"/>
        <v>0.13585574111999998</v>
      </c>
      <c r="AN95" s="348">
        <f t="shared" si="106"/>
        <v>4.2352676728492716E-2</v>
      </c>
      <c r="AO95" s="348">
        <f t="shared" si="107"/>
        <v>1.452E-5</v>
      </c>
      <c r="AP95" s="348">
        <f t="shared" si="108"/>
        <v>6.6937199999999988E-2</v>
      </c>
      <c r="AQ95" s="348">
        <f t="shared" si="109"/>
        <v>4.7164980923076916E-2</v>
      </c>
      <c r="AR95" s="348">
        <f t="shared" si="110"/>
        <v>2.1419903999999993E-2</v>
      </c>
      <c r="AS95" s="348">
        <f t="shared" si="133"/>
        <v>6.6951719999999992E-2</v>
      </c>
      <c r="AT95" s="348">
        <f t="shared" si="111"/>
        <v>0.57738993227805535</v>
      </c>
      <c r="AU95">
        <f t="shared" si="112"/>
        <v>4.2569999999999997</v>
      </c>
      <c r="AV95" s="526">
        <f t="shared" si="127"/>
        <v>0.88056612305454252</v>
      </c>
      <c r="AW95" s="534">
        <f t="shared" si="113"/>
        <v>8.0397028154784707</v>
      </c>
      <c r="AX95" s="534">
        <f t="shared" si="114"/>
        <v>2.3824828432575349</v>
      </c>
      <c r="AY95" s="9"/>
      <c r="AZ95" s="4">
        <f t="shared" si="128"/>
        <v>88.056612305454252</v>
      </c>
      <c r="BA95" s="348">
        <f t="shared" si="115"/>
        <v>0.20602710369437385</v>
      </c>
      <c r="BB95" s="348">
        <f t="shared" si="129"/>
        <v>0.25131771501432987</v>
      </c>
      <c r="BC95" s="348">
        <f t="shared" si="130"/>
        <v>0.19142149560663024</v>
      </c>
      <c r="BD95" s="348">
        <f t="shared" si="131"/>
        <v>5.8537661996499624E-2</v>
      </c>
      <c r="BE95" s="348">
        <f t="shared" si="132"/>
        <v>4.2352676728492716E-2</v>
      </c>
      <c r="BK95" s="18"/>
      <c r="BL95" s="19"/>
    </row>
    <row r="96" spans="1:64" x14ac:dyDescent="0.25">
      <c r="G96">
        <v>87</v>
      </c>
      <c r="H96" s="531">
        <f t="shared" si="85"/>
        <v>6.6</v>
      </c>
      <c r="I96" s="4">
        <f t="shared" si="86"/>
        <v>1</v>
      </c>
      <c r="J96" s="348">
        <f t="shared" si="116"/>
        <v>1.3049999999999999</v>
      </c>
      <c r="K96" s="348">
        <f t="shared" si="87"/>
        <v>1.3049999999999999</v>
      </c>
      <c r="L96" s="4">
        <f t="shared" si="88"/>
        <v>0.72499999999999998</v>
      </c>
      <c r="M96" s="348">
        <f t="shared" si="89"/>
        <v>0.50473931663328331</v>
      </c>
      <c r="N96" s="4">
        <f t="shared" si="90"/>
        <v>0.6000927021452126</v>
      </c>
      <c r="O96" s="4">
        <f t="shared" si="117"/>
        <v>1.6050463510726063</v>
      </c>
      <c r="P96" s="4">
        <f t="shared" si="118"/>
        <v>1.0049536489273936</v>
      </c>
      <c r="Q96" s="4">
        <f t="shared" si="91"/>
        <v>0</v>
      </c>
      <c r="R96" s="4">
        <f t="shared" si="119"/>
        <v>1.3164475952086592</v>
      </c>
      <c r="S96" s="348">
        <f t="shared" si="92"/>
        <v>6.0656199482573159E-3</v>
      </c>
      <c r="T96" s="348">
        <f t="shared" si="93"/>
        <v>0.2</v>
      </c>
      <c r="U96" s="348">
        <f t="shared" si="94"/>
        <v>0.20616566175230297</v>
      </c>
      <c r="V96" s="4">
        <f t="shared" si="120"/>
        <v>0.17323184156113422</v>
      </c>
      <c r="W96" s="348">
        <f t="shared" si="121"/>
        <v>6.0018541861323823E-5</v>
      </c>
      <c r="X96" s="348">
        <f t="shared" si="122"/>
        <v>6.0018541861323823E-5</v>
      </c>
      <c r="Y96" s="4">
        <f t="shared" si="123"/>
        <v>0.65819422804990857</v>
      </c>
      <c r="Z96" s="348">
        <f t="shared" si="124"/>
        <v>4.3321964183821505E-4</v>
      </c>
      <c r="AA96" s="525">
        <f t="shared" si="125"/>
        <v>4.3321964183821505E-4</v>
      </c>
      <c r="AB96" s="348">
        <f t="shared" si="126"/>
        <v>0.9352702997591672</v>
      </c>
      <c r="AC96" s="348">
        <f t="shared" si="95"/>
        <v>1.0496766403339229E-2</v>
      </c>
      <c r="AD96" s="348">
        <f t="shared" si="96"/>
        <v>1.3359269256835345E-2</v>
      </c>
      <c r="AE96" s="348">
        <f t="shared" si="97"/>
        <v>7.8115712399999981E-2</v>
      </c>
      <c r="AF96" s="348">
        <f t="shared" si="98"/>
        <v>0</v>
      </c>
      <c r="AG96" s="348">
        <f t="shared" si="99"/>
        <v>0.10215188849806019</v>
      </c>
      <c r="AH96" s="348">
        <f t="shared" si="100"/>
        <v>0.92644683458850419</v>
      </c>
      <c r="AI96" s="348">
        <f t="shared" si="101"/>
        <v>3.5190453230081425E-3</v>
      </c>
      <c r="AJ96" s="348">
        <f t="shared" si="102"/>
        <v>1.0376483039999999E-2</v>
      </c>
      <c r="AK96" s="348">
        <f t="shared" si="103"/>
        <v>1.3903493682583257E-2</v>
      </c>
      <c r="AL96" s="348">
        <f t="shared" si="104"/>
        <v>1.0376483039999999E-2</v>
      </c>
      <c r="AM96" s="348">
        <f t="shared" si="105"/>
        <v>0.13743545903999999</v>
      </c>
      <c r="AN96" s="348">
        <f t="shared" si="106"/>
        <v>4.3325856773266544E-2</v>
      </c>
      <c r="AO96" s="348">
        <f t="shared" si="107"/>
        <v>1.452E-5</v>
      </c>
      <c r="AP96" s="348">
        <f t="shared" si="108"/>
        <v>6.6937199999999988E-2</v>
      </c>
      <c r="AQ96" s="348">
        <f t="shared" si="109"/>
        <v>4.7164980923076916E-2</v>
      </c>
      <c r="AR96" s="348">
        <f t="shared" si="110"/>
        <v>2.1419903999999993E-2</v>
      </c>
      <c r="AS96" s="348">
        <f t="shared" si="133"/>
        <v>6.6951719999999992E-2</v>
      </c>
      <c r="AT96" s="348">
        <f t="shared" si="111"/>
        <v>0.58080380096991246</v>
      </c>
      <c r="AU96">
        <f t="shared" si="112"/>
        <v>4.3064999999999998</v>
      </c>
      <c r="AV96" s="526">
        <f t="shared" si="127"/>
        <v>0.88116069214795922</v>
      </c>
      <c r="AW96" s="534">
        <f t="shared" si="113"/>
        <v>8.1000902415073277</v>
      </c>
      <c r="AX96" s="534">
        <f t="shared" si="114"/>
        <v>2.4117678432473788</v>
      </c>
      <c r="AY96" s="9"/>
      <c r="AZ96" s="4">
        <f t="shared" si="128"/>
        <v>88.116069214795928</v>
      </c>
      <c r="BA96" s="348">
        <f t="shared" si="115"/>
        <v>0.20616566175230297</v>
      </c>
      <c r="BB96" s="348">
        <f t="shared" si="129"/>
        <v>0.25349084122064341</v>
      </c>
      <c r="BC96" s="348">
        <f t="shared" si="130"/>
        <v>0.19285929146446018</v>
      </c>
      <c r="BD96" s="348">
        <f t="shared" si="131"/>
        <v>5.9257195165783254E-2</v>
      </c>
      <c r="BE96" s="348">
        <f t="shared" si="132"/>
        <v>4.3325856773266544E-2</v>
      </c>
      <c r="BK96" s="18"/>
      <c r="BL96" s="19"/>
    </row>
    <row r="97" spans="7:64" x14ac:dyDescent="0.25">
      <c r="G97">
        <v>88</v>
      </c>
      <c r="H97" s="531">
        <f t="shared" si="85"/>
        <v>6.6</v>
      </c>
      <c r="I97" s="4">
        <f t="shared" si="86"/>
        <v>1</v>
      </c>
      <c r="J97" s="348">
        <f t="shared" si="116"/>
        <v>1.32</v>
      </c>
      <c r="K97" s="348">
        <f t="shared" si="87"/>
        <v>1.32</v>
      </c>
      <c r="L97" s="4">
        <f t="shared" si="88"/>
        <v>0.73333333333333339</v>
      </c>
      <c r="M97" s="348">
        <f t="shared" si="89"/>
        <v>0.50479360586793165</v>
      </c>
      <c r="N97" s="4">
        <f t="shared" si="90"/>
        <v>0.60011470290554869</v>
      </c>
      <c r="O97" s="4">
        <f t="shared" si="117"/>
        <v>1.6200573514527745</v>
      </c>
      <c r="P97" s="4">
        <f t="shared" si="118"/>
        <v>1.0199426485472256</v>
      </c>
      <c r="Q97" s="4">
        <f t="shared" si="91"/>
        <v>0</v>
      </c>
      <c r="R97" s="4">
        <f t="shared" si="119"/>
        <v>1.3313194475357712</v>
      </c>
      <c r="S97" s="348">
        <f t="shared" si="92"/>
        <v>6.2034401498543296E-3</v>
      </c>
      <c r="T97" s="348">
        <f t="shared" si="93"/>
        <v>0.2</v>
      </c>
      <c r="U97" s="348">
        <f t="shared" si="94"/>
        <v>0.20630582461670044</v>
      </c>
      <c r="V97" s="4">
        <f t="shared" si="120"/>
        <v>0.17323819263358542</v>
      </c>
      <c r="W97" s="348">
        <f t="shared" si="121"/>
        <v>6.00229427739025E-5</v>
      </c>
      <c r="X97" s="348">
        <f t="shared" si="122"/>
        <v>6.00229427739025E-5</v>
      </c>
      <c r="Y97" s="4">
        <f t="shared" si="123"/>
        <v>0.66562913113166045</v>
      </c>
      <c r="Z97" s="348">
        <f t="shared" si="124"/>
        <v>4.4306214021108919E-4</v>
      </c>
      <c r="AA97" s="525">
        <f t="shared" si="125"/>
        <v>4.4306214021108919E-4</v>
      </c>
      <c r="AB97" s="348">
        <f t="shared" si="126"/>
        <v>0.94588687363928758</v>
      </c>
      <c r="AC97" s="348">
        <f t="shared" si="95"/>
        <v>1.0736423732677266E-2</v>
      </c>
      <c r="AD97" s="348">
        <f t="shared" si="96"/>
        <v>1.3512824075879429E-2</v>
      </c>
      <c r="AE97" s="348">
        <f t="shared" si="97"/>
        <v>7.8115712399999981E-2</v>
      </c>
      <c r="AF97" s="348">
        <f t="shared" si="98"/>
        <v>0</v>
      </c>
      <c r="AG97" s="348">
        <f t="shared" si="99"/>
        <v>0.10254993148761563</v>
      </c>
      <c r="AH97" s="348">
        <f t="shared" si="100"/>
        <v>0.93686151253205285</v>
      </c>
      <c r="AI97" s="348">
        <f t="shared" si="101"/>
        <v>3.5986089240217676E-3</v>
      </c>
      <c r="AJ97" s="348">
        <f t="shared" si="102"/>
        <v>1.0495752959999998E-2</v>
      </c>
      <c r="AK97" s="348">
        <f t="shared" si="103"/>
        <v>1.4102623956088623E-2</v>
      </c>
      <c r="AL97" s="348">
        <f t="shared" si="104"/>
        <v>1.0495752959999998E-2</v>
      </c>
      <c r="AM97" s="348">
        <f t="shared" si="105"/>
        <v>0.13901517695999999</v>
      </c>
      <c r="AN97" s="348">
        <f t="shared" si="106"/>
        <v>4.4310286784673782E-2</v>
      </c>
      <c r="AO97" s="348">
        <f t="shared" si="107"/>
        <v>1.452E-5</v>
      </c>
      <c r="AP97" s="348">
        <f t="shared" si="108"/>
        <v>6.6937199999999988E-2</v>
      </c>
      <c r="AQ97" s="348">
        <f t="shared" si="109"/>
        <v>4.7164980923076916E-2</v>
      </c>
      <c r="AR97" s="348">
        <f t="shared" si="110"/>
        <v>2.1419903999999993E-2</v>
      </c>
      <c r="AS97" s="348">
        <f t="shared" si="133"/>
        <v>6.6951719999999992E-2</v>
      </c>
      <c r="AT97" s="348">
        <f t="shared" si="111"/>
        <v>0.58423440184806341</v>
      </c>
      <c r="AU97">
        <f t="shared" si="112"/>
        <v>4.3559999999999999</v>
      </c>
      <c r="AV97" s="526">
        <f t="shared" si="127"/>
        <v>0.88173953818274076</v>
      </c>
      <c r="AW97" s="534">
        <f t="shared" si="113"/>
        <v>8.1605978278110562</v>
      </c>
      <c r="AX97" s="534">
        <f t="shared" si="114"/>
        <v>2.441089636762567</v>
      </c>
      <c r="AY97" s="9"/>
      <c r="AZ97" s="4">
        <f t="shared" si="128"/>
        <v>88.173953818274072</v>
      </c>
      <c r="BA97" s="348">
        <f t="shared" si="115"/>
        <v>0.20630582461670044</v>
      </c>
      <c r="BB97" s="348">
        <f t="shared" si="129"/>
        <v>0.25566773240370422</v>
      </c>
      <c r="BC97" s="348">
        <f t="shared" si="130"/>
        <v>0.19429994828121561</v>
      </c>
      <c r="BD97" s="348">
        <f t="shared" si="131"/>
        <v>5.9977632352888624E-2</v>
      </c>
      <c r="BE97" s="348">
        <f t="shared" si="132"/>
        <v>4.4310286784673782E-2</v>
      </c>
      <c r="BK97" s="18"/>
      <c r="BL97" s="19"/>
    </row>
    <row r="98" spans="7:64" x14ac:dyDescent="0.25">
      <c r="G98">
        <v>89</v>
      </c>
      <c r="H98" s="531">
        <f t="shared" si="85"/>
        <v>6.6</v>
      </c>
      <c r="I98" s="4">
        <f t="shared" si="86"/>
        <v>1</v>
      </c>
      <c r="J98" s="348">
        <f t="shared" si="116"/>
        <v>1.335</v>
      </c>
      <c r="K98" s="348">
        <f t="shared" si="87"/>
        <v>1.335</v>
      </c>
      <c r="L98" s="4">
        <f t="shared" si="88"/>
        <v>0.7416666666666667</v>
      </c>
      <c r="M98" s="348">
        <f t="shared" si="89"/>
        <v>0.50484789089737114</v>
      </c>
      <c r="N98" s="4">
        <f t="shared" si="90"/>
        <v>0.60013668951583499</v>
      </c>
      <c r="O98" s="4">
        <f t="shared" si="117"/>
        <v>1.6350683447579175</v>
      </c>
      <c r="P98" s="4">
        <f t="shared" si="118"/>
        <v>1.0349316552420824</v>
      </c>
      <c r="Q98" s="4">
        <f t="shared" si="91"/>
        <v>0</v>
      </c>
      <c r="R98" s="4">
        <f t="shared" si="119"/>
        <v>1.346194142948403</v>
      </c>
      <c r="S98" s="348">
        <f t="shared" si="92"/>
        <v>6.3428353467800489E-3</v>
      </c>
      <c r="T98" s="348">
        <f t="shared" si="93"/>
        <v>0.2</v>
      </c>
      <c r="U98" s="348">
        <f t="shared" si="94"/>
        <v>0.20644759239368343</v>
      </c>
      <c r="V98" s="4">
        <f t="shared" si="120"/>
        <v>0.17324453962126909</v>
      </c>
      <c r="W98" s="348">
        <f t="shared" si="121"/>
        <v>6.0027341017170956E-5</v>
      </c>
      <c r="X98" s="348">
        <f t="shared" si="122"/>
        <v>6.0027341017170956E-5</v>
      </c>
      <c r="Y98" s="4">
        <f t="shared" si="123"/>
        <v>0.67306543241372319</v>
      </c>
      <c r="Z98" s="348">
        <f t="shared" si="124"/>
        <v>4.5301707631027218E-4</v>
      </c>
      <c r="AA98" s="525">
        <f t="shared" si="125"/>
        <v>4.5301707631027218E-4</v>
      </c>
      <c r="AB98" s="348">
        <f t="shared" si="126"/>
        <v>0.95650659726366516</v>
      </c>
      <c r="AC98" s="348">
        <f t="shared" si="95"/>
        <v>1.0978858447306984E-2</v>
      </c>
      <c r="AD98" s="348">
        <f t="shared" si="96"/>
        <v>1.3666378894923515E-2</v>
      </c>
      <c r="AE98" s="348">
        <f t="shared" si="97"/>
        <v>7.8115712399999981E-2</v>
      </c>
      <c r="AF98" s="348">
        <f t="shared" si="98"/>
        <v>0</v>
      </c>
      <c r="AG98" s="348">
        <f t="shared" si="99"/>
        <v>0.10295083723062025</v>
      </c>
      <c r="AH98" s="348">
        <f t="shared" si="100"/>
        <v>0.94727704495552412</v>
      </c>
      <c r="AI98" s="348">
        <f t="shared" si="101"/>
        <v>3.6790685795886468E-3</v>
      </c>
      <c r="AJ98" s="348">
        <f t="shared" si="102"/>
        <v>1.0615022879999998E-2</v>
      </c>
      <c r="AK98" s="348">
        <f t="shared" si="103"/>
        <v>1.430265807046226E-2</v>
      </c>
      <c r="AL98" s="348">
        <f t="shared" si="104"/>
        <v>1.0615022879999998E-2</v>
      </c>
      <c r="AM98" s="348">
        <f t="shared" si="105"/>
        <v>0.14059489487999996</v>
      </c>
      <c r="AN98" s="348">
        <f t="shared" si="106"/>
        <v>4.5305966762714638E-2</v>
      </c>
      <c r="AO98" s="348">
        <f t="shared" si="107"/>
        <v>1.452E-5</v>
      </c>
      <c r="AP98" s="348">
        <f t="shared" si="108"/>
        <v>6.6937199999999988E-2</v>
      </c>
      <c r="AQ98" s="348">
        <f t="shared" si="109"/>
        <v>4.7164980923076916E-2</v>
      </c>
      <c r="AR98" s="348">
        <f t="shared" si="110"/>
        <v>2.1419903999999993E-2</v>
      </c>
      <c r="AS98" s="348">
        <f t="shared" si="133"/>
        <v>6.6951719999999992E-2</v>
      </c>
      <c r="AT98" s="348">
        <f t="shared" si="111"/>
        <v>0.58768173663480783</v>
      </c>
      <c r="AU98">
        <f t="shared" si="112"/>
        <v>4.4055</v>
      </c>
      <c r="AV98" s="526">
        <f t="shared" si="127"/>
        <v>0.88230315505582202</v>
      </c>
      <c r="AW98" s="534">
        <f t="shared" si="113"/>
        <v>8.2212256497596492</v>
      </c>
      <c r="AX98" s="534">
        <f t="shared" si="114"/>
        <v>2.4704482166010937</v>
      </c>
      <c r="AY98" s="9"/>
      <c r="AZ98" s="4">
        <f t="shared" si="128"/>
        <v>88.230315505582197</v>
      </c>
      <c r="BA98" s="348">
        <f t="shared" si="115"/>
        <v>0.20644759239368343</v>
      </c>
      <c r="BB98" s="348">
        <f t="shared" si="129"/>
        <v>0.25784839018108247</v>
      </c>
      <c r="BC98" s="348">
        <f t="shared" si="130"/>
        <v>0.19574346785142022</v>
      </c>
      <c r="BD98" s="348">
        <f t="shared" si="131"/>
        <v>6.0698973380862248E-2</v>
      </c>
      <c r="BE98" s="348">
        <f t="shared" si="132"/>
        <v>4.5305966762714638E-2</v>
      </c>
      <c r="BK98" s="18"/>
      <c r="BL98" s="19"/>
    </row>
    <row r="99" spans="7:64" x14ac:dyDescent="0.25">
      <c r="G99">
        <v>90</v>
      </c>
      <c r="H99" s="531">
        <f t="shared" si="85"/>
        <v>6.6</v>
      </c>
      <c r="I99" s="4">
        <f t="shared" si="86"/>
        <v>1</v>
      </c>
      <c r="J99" s="348">
        <f t="shared" si="116"/>
        <v>1.35</v>
      </c>
      <c r="K99" s="348">
        <f t="shared" si="87"/>
        <v>1.35</v>
      </c>
      <c r="L99" s="4">
        <f t="shared" si="88"/>
        <v>0.75000000000000011</v>
      </c>
      <c r="M99" s="348">
        <f t="shared" si="89"/>
        <v>0.50490217172209029</v>
      </c>
      <c r="N99" s="4">
        <f t="shared" si="90"/>
        <v>0.60015866197771528</v>
      </c>
      <c r="O99" s="4">
        <f t="shared" si="117"/>
        <v>1.6500793309888577</v>
      </c>
      <c r="P99" s="4">
        <f t="shared" si="118"/>
        <v>1.0499206690111424</v>
      </c>
      <c r="Q99" s="4">
        <f t="shared" si="91"/>
        <v>0</v>
      </c>
      <c r="R99" s="4">
        <f t="shared" si="119"/>
        <v>1.3610715882331736</v>
      </c>
      <c r="S99" s="348">
        <f t="shared" si="92"/>
        <v>6.4838055390345085E-3</v>
      </c>
      <c r="T99" s="348">
        <f t="shared" si="93"/>
        <v>0.2</v>
      </c>
      <c r="U99" s="348">
        <f t="shared" si="94"/>
        <v>0.20659096519058789</v>
      </c>
      <c r="V99" s="4">
        <f t="shared" si="120"/>
        <v>0.17325088252465978</v>
      </c>
      <c r="W99" s="348">
        <f t="shared" si="121"/>
        <v>6.0031736591146932E-5</v>
      </c>
      <c r="X99" s="348">
        <f t="shared" si="122"/>
        <v>6.0031736591146932E-5</v>
      </c>
      <c r="Y99" s="4">
        <f t="shared" si="123"/>
        <v>0.68050308502775514</v>
      </c>
      <c r="Z99" s="348">
        <f t="shared" si="124"/>
        <v>4.6308444873229216E-4</v>
      </c>
      <c r="AA99" s="525">
        <f t="shared" si="125"/>
        <v>4.6308444873229216E-4</v>
      </c>
      <c r="AB99" s="348">
        <f t="shared" si="126"/>
        <v>0.96712940450183238</v>
      </c>
      <c r="AC99" s="348">
        <f t="shared" si="95"/>
        <v>1.1224071420624827E-2</v>
      </c>
      <c r="AD99" s="348">
        <f t="shared" si="96"/>
        <v>1.38199337139676E-2</v>
      </c>
      <c r="AE99" s="348">
        <f t="shared" si="97"/>
        <v>7.8115712399999981E-2</v>
      </c>
      <c r="AF99" s="348">
        <f t="shared" si="98"/>
        <v>0</v>
      </c>
      <c r="AG99" s="348">
        <f t="shared" si="99"/>
        <v>0.10335460753001575</v>
      </c>
      <c r="AH99" s="348">
        <f t="shared" si="100"/>
        <v>0.95769336598073229</v>
      </c>
      <c r="AI99" s="348">
        <f t="shared" si="101"/>
        <v>3.7604239912983691E-3</v>
      </c>
      <c r="AJ99" s="348">
        <f t="shared" si="102"/>
        <v>1.07342928E-2</v>
      </c>
      <c r="AK99" s="348">
        <f t="shared" si="103"/>
        <v>1.4503595849540621E-2</v>
      </c>
      <c r="AL99" s="348">
        <f t="shared" si="104"/>
        <v>1.07342928E-2</v>
      </c>
      <c r="AM99" s="348">
        <f t="shared" si="105"/>
        <v>0.14217461279999999</v>
      </c>
      <c r="AN99" s="348">
        <f t="shared" si="106"/>
        <v>4.6312896707389348E-2</v>
      </c>
      <c r="AO99" s="348">
        <f t="shared" si="107"/>
        <v>1.452E-5</v>
      </c>
      <c r="AP99" s="348">
        <f t="shared" si="108"/>
        <v>6.6937199999999988E-2</v>
      </c>
      <c r="AQ99" s="348">
        <f t="shared" si="109"/>
        <v>4.7164980923076916E-2</v>
      </c>
      <c r="AR99" s="348">
        <f t="shared" si="110"/>
        <v>2.1419903999999993E-2</v>
      </c>
      <c r="AS99" s="348">
        <f t="shared" si="133"/>
        <v>6.6951719999999992E-2</v>
      </c>
      <c r="AT99" s="348">
        <f t="shared" si="111"/>
        <v>0.59114580706285702</v>
      </c>
      <c r="AU99">
        <f t="shared" si="112"/>
        <v>4.4550000000000001</v>
      </c>
      <c r="AV99" s="526">
        <f t="shared" si="127"/>
        <v>0.88285201623871878</v>
      </c>
      <c r="AW99" s="534">
        <f t="shared" si="113"/>
        <v>8.281973783076662</v>
      </c>
      <c r="AX99" s="534">
        <f t="shared" si="114"/>
        <v>2.4998435755931032</v>
      </c>
      <c r="AY99" s="9"/>
      <c r="AZ99" s="4">
        <f t="shared" si="128"/>
        <v>88.285201623871885</v>
      </c>
      <c r="BA99" s="348">
        <f t="shared" si="115"/>
        <v>0.20659096519058789</v>
      </c>
      <c r="BB99" s="348">
        <f t="shared" si="129"/>
        <v>0.26003281617955637</v>
      </c>
      <c r="BC99" s="348">
        <f t="shared" si="130"/>
        <v>0.19718985197801575</v>
      </c>
      <c r="BD99" s="348">
        <f t="shared" si="131"/>
        <v>6.1421218073540618E-2</v>
      </c>
      <c r="BE99" s="348">
        <f t="shared" si="132"/>
        <v>4.6312896707389348E-2</v>
      </c>
      <c r="BK99" s="18"/>
      <c r="BL99" s="19"/>
    </row>
    <row r="100" spans="7:64" x14ac:dyDescent="0.25">
      <c r="G100">
        <v>91</v>
      </c>
      <c r="H100" s="531">
        <f t="shared" si="85"/>
        <v>6.6</v>
      </c>
      <c r="I100" s="4">
        <f t="shared" si="86"/>
        <v>1</v>
      </c>
      <c r="J100" s="348">
        <f t="shared" si="116"/>
        <v>1.365</v>
      </c>
      <c r="K100" s="348">
        <f t="shared" si="87"/>
        <v>1.365</v>
      </c>
      <c r="L100" s="4">
        <f t="shared" si="88"/>
        <v>0.75833333333333341</v>
      </c>
      <c r="M100" s="348">
        <f t="shared" si="89"/>
        <v>0.50495644834257758</v>
      </c>
      <c r="N100" s="4">
        <f t="shared" si="90"/>
        <v>0.60018062029283348</v>
      </c>
      <c r="O100" s="4">
        <f t="shared" si="117"/>
        <v>1.6650903101464167</v>
      </c>
      <c r="P100" s="4">
        <f t="shared" si="118"/>
        <v>1.0649096898535833</v>
      </c>
      <c r="Q100" s="4">
        <f t="shared" si="91"/>
        <v>0</v>
      </c>
      <c r="R100" s="4">
        <f t="shared" si="119"/>
        <v>1.3759516941913057</v>
      </c>
      <c r="S100" s="348">
        <f t="shared" si="92"/>
        <v>6.6263507266177352E-3</v>
      </c>
      <c r="T100" s="348">
        <f t="shared" si="93"/>
        <v>0.2</v>
      </c>
      <c r="U100" s="348">
        <f t="shared" si="94"/>
        <v>0.20673594311596849</v>
      </c>
      <c r="V100" s="4">
        <f t="shared" si="120"/>
        <v>0.17325722134423199</v>
      </c>
      <c r="W100" s="348">
        <f t="shared" si="121"/>
        <v>6.0036129495848397E-5</v>
      </c>
      <c r="X100" s="348">
        <f t="shared" si="122"/>
        <v>6.0036129495848397E-5</v>
      </c>
      <c r="Y100" s="4">
        <f t="shared" si="123"/>
        <v>0.6879420441127968</v>
      </c>
      <c r="Z100" s="348">
        <f t="shared" si="124"/>
        <v>4.7326425605809328E-4</v>
      </c>
      <c r="AA100" s="525">
        <f t="shared" si="125"/>
        <v>4.7326425605809328E-4</v>
      </c>
      <c r="AB100" s="348">
        <f t="shared" si="126"/>
        <v>0.97775523206185333</v>
      </c>
      <c r="AC100" s="348">
        <f t="shared" si="95"/>
        <v>1.1472063525891944E-2</v>
      </c>
      <c r="AD100" s="348">
        <f t="shared" si="96"/>
        <v>1.3973488533011684E-2</v>
      </c>
      <c r="AE100" s="348">
        <f t="shared" si="97"/>
        <v>7.8115712399999981E-2</v>
      </c>
      <c r="AF100" s="348">
        <f t="shared" si="98"/>
        <v>0</v>
      </c>
      <c r="AG100" s="348">
        <f t="shared" si="99"/>
        <v>0.10376124419717615</v>
      </c>
      <c r="AH100" s="348">
        <f t="shared" si="100"/>
        <v>0.96811041256852304</v>
      </c>
      <c r="AI100" s="348">
        <f t="shared" si="101"/>
        <v>3.8426748607867426E-3</v>
      </c>
      <c r="AJ100" s="348">
        <f t="shared" si="102"/>
        <v>1.0853562719999998E-2</v>
      </c>
      <c r="AK100" s="348">
        <f t="shared" si="103"/>
        <v>1.470543711794943E-2</v>
      </c>
      <c r="AL100" s="348">
        <f t="shared" si="104"/>
        <v>1.0853562719999998E-2</v>
      </c>
      <c r="AM100" s="348">
        <f t="shared" si="105"/>
        <v>0.14375433071999999</v>
      </c>
      <c r="AN100" s="348">
        <f t="shared" si="106"/>
        <v>4.7331076618698113E-2</v>
      </c>
      <c r="AO100" s="348">
        <f t="shared" si="107"/>
        <v>1.452E-5</v>
      </c>
      <c r="AP100" s="348">
        <f t="shared" si="108"/>
        <v>6.6937199999999988E-2</v>
      </c>
      <c r="AQ100" s="348">
        <f t="shared" si="109"/>
        <v>4.7164980923076916E-2</v>
      </c>
      <c r="AR100" s="348">
        <f t="shared" si="110"/>
        <v>2.1419903999999993E-2</v>
      </c>
      <c r="AS100" s="348">
        <f t="shared" si="133"/>
        <v>6.6951719999999992E-2</v>
      </c>
      <c r="AT100" s="348">
        <f t="shared" si="111"/>
        <v>0.59462661487534607</v>
      </c>
      <c r="AU100">
        <f t="shared" si="112"/>
        <v>4.5045000000000002</v>
      </c>
      <c r="AV100" s="526">
        <f t="shared" si="127"/>
        <v>0.88338657582247893</v>
      </c>
      <c r="AW100" s="534">
        <f t="shared" si="113"/>
        <v>8.3428423038397987</v>
      </c>
      <c r="AX100" s="534">
        <f t="shared" si="114"/>
        <v>2.529275706600862</v>
      </c>
      <c r="AY100" s="9"/>
      <c r="AZ100" s="4">
        <f t="shared" si="128"/>
        <v>88.33865758224789</v>
      </c>
      <c r="BA100" s="348">
        <f t="shared" si="115"/>
        <v>0.20673594311596849</v>
      </c>
      <c r="BB100" s="348">
        <f t="shared" si="129"/>
        <v>0.2622210120351256</v>
      </c>
      <c r="BC100" s="348">
        <f t="shared" si="130"/>
        <v>0.19863910247237615</v>
      </c>
      <c r="BD100" s="348">
        <f t="shared" si="131"/>
        <v>6.2144366255549428E-2</v>
      </c>
      <c r="BE100" s="348">
        <f t="shared" si="132"/>
        <v>4.7331076618698113E-2</v>
      </c>
      <c r="BK100" s="18"/>
      <c r="BL100" s="19"/>
    </row>
    <row r="101" spans="7:64" x14ac:dyDescent="0.25">
      <c r="G101">
        <v>92</v>
      </c>
      <c r="H101" s="531">
        <f t="shared" si="85"/>
        <v>6.6</v>
      </c>
      <c r="I101" s="4">
        <f t="shared" si="86"/>
        <v>1</v>
      </c>
      <c r="J101" s="348">
        <f t="shared" si="116"/>
        <v>1.38</v>
      </c>
      <c r="K101" s="348">
        <f t="shared" si="87"/>
        <v>1.38</v>
      </c>
      <c r="L101" s="4">
        <f t="shared" si="88"/>
        <v>0.76666666666666661</v>
      </c>
      <c r="M101" s="348">
        <f t="shared" si="89"/>
        <v>0.50501072075932152</v>
      </c>
      <c r="N101" s="4">
        <f t="shared" si="90"/>
        <v>0.60020256446283327</v>
      </c>
      <c r="O101" s="4">
        <f t="shared" si="117"/>
        <v>1.6801012822314165</v>
      </c>
      <c r="P101" s="4">
        <f t="shared" si="118"/>
        <v>1.0798987177685833</v>
      </c>
      <c r="Q101" s="4">
        <f t="shared" si="91"/>
        <v>0</v>
      </c>
      <c r="R101" s="4">
        <f t="shared" si="119"/>
        <v>1.3908343754256458</v>
      </c>
      <c r="S101" s="348">
        <f t="shared" si="92"/>
        <v>6.7704709095297621E-3</v>
      </c>
      <c r="T101" s="348">
        <f t="shared" si="93"/>
        <v>0.2</v>
      </c>
      <c r="U101" s="348">
        <f t="shared" si="94"/>
        <v>0.20688252627959905</v>
      </c>
      <c r="V101" s="4">
        <f t="shared" si="120"/>
        <v>0.17326355608046026</v>
      </c>
      <c r="W101" s="348">
        <f t="shared" si="121"/>
        <v>6.0040519731293594E-5</v>
      </c>
      <c r="X101" s="348">
        <f t="shared" si="122"/>
        <v>6.0040519731293594E-5</v>
      </c>
      <c r="Y101" s="4">
        <f t="shared" si="123"/>
        <v>0.69538226670878123</v>
      </c>
      <c r="Z101" s="348">
        <f t="shared" si="124"/>
        <v>4.8355649685304254E-4</v>
      </c>
      <c r="AA101" s="525">
        <f t="shared" si="125"/>
        <v>4.8355649685304254E-4</v>
      </c>
      <c r="AB101" s="348">
        <f t="shared" si="126"/>
        <v>0.98838401933974218</v>
      </c>
      <c r="AC101" s="348">
        <f t="shared" si="95"/>
        <v>1.1722835636234207E-2</v>
      </c>
      <c r="AD101" s="348">
        <f t="shared" si="96"/>
        <v>1.4127043352055765E-2</v>
      </c>
      <c r="AE101" s="348">
        <f t="shared" si="97"/>
        <v>7.8115712399999981E-2</v>
      </c>
      <c r="AF101" s="348">
        <f t="shared" si="98"/>
        <v>0</v>
      </c>
      <c r="AG101" s="348">
        <f t="shared" si="99"/>
        <v>0.10417074905192213</v>
      </c>
      <c r="AH101" s="348">
        <f t="shared" si="100"/>
        <v>0.97852812436815639</v>
      </c>
      <c r="AI101" s="348">
        <f t="shared" si="101"/>
        <v>3.9258208897357946E-3</v>
      </c>
      <c r="AJ101" s="348">
        <f t="shared" si="102"/>
        <v>1.0972832639999998E-2</v>
      </c>
      <c r="AK101" s="348">
        <f t="shared" si="103"/>
        <v>1.4908181701103038E-2</v>
      </c>
      <c r="AL101" s="348">
        <f t="shared" si="104"/>
        <v>1.0972832639999998E-2</v>
      </c>
      <c r="AM101" s="348">
        <f t="shared" si="105"/>
        <v>0.14533404863999999</v>
      </c>
      <c r="AN101" s="348">
        <f t="shared" si="106"/>
        <v>4.8360506496641163E-2</v>
      </c>
      <c r="AO101" s="348">
        <f t="shared" si="107"/>
        <v>1.452E-5</v>
      </c>
      <c r="AP101" s="348">
        <f t="shared" si="108"/>
        <v>6.6937199999999988E-2</v>
      </c>
      <c r="AQ101" s="348">
        <f t="shared" si="109"/>
        <v>4.7164980923076916E-2</v>
      </c>
      <c r="AR101" s="348">
        <f t="shared" si="110"/>
        <v>2.1419903999999993E-2</v>
      </c>
      <c r="AS101" s="348">
        <f t="shared" si="133"/>
        <v>6.6951719999999992E-2</v>
      </c>
      <c r="AT101" s="348">
        <f t="shared" si="111"/>
        <v>0.5981241618258496</v>
      </c>
      <c r="AU101">
        <f t="shared" si="112"/>
        <v>4.5539999999999994</v>
      </c>
      <c r="AV101" s="526">
        <f t="shared" si="127"/>
        <v>0.88390726949913367</v>
      </c>
      <c r="AW101" s="534">
        <f t="shared" si="113"/>
        <v>8.4038312884815287</v>
      </c>
      <c r="AX101" s="534">
        <f t="shared" si="114"/>
        <v>2.5587446025187339</v>
      </c>
      <c r="AY101" s="9"/>
      <c r="AZ101" s="4">
        <f t="shared" si="128"/>
        <v>88.390726949913372</v>
      </c>
      <c r="BA101" s="348">
        <f t="shared" si="115"/>
        <v>0.20688252627959905</v>
      </c>
      <c r="BB101" s="348">
        <f t="shared" si="129"/>
        <v>0.26441297939302516</v>
      </c>
      <c r="BC101" s="348">
        <f t="shared" si="130"/>
        <v>0.20009122115432212</v>
      </c>
      <c r="BD101" s="348">
        <f t="shared" si="131"/>
        <v>6.2868417752303035E-2</v>
      </c>
      <c r="BE101" s="348">
        <f t="shared" si="132"/>
        <v>4.8360506496641163E-2</v>
      </c>
      <c r="BK101" s="18"/>
      <c r="BL101" s="19"/>
    </row>
    <row r="102" spans="7:64" x14ac:dyDescent="0.25">
      <c r="G102">
        <v>93</v>
      </c>
      <c r="H102" s="531">
        <f t="shared" si="85"/>
        <v>6.6</v>
      </c>
      <c r="I102" s="4">
        <f t="shared" si="86"/>
        <v>1</v>
      </c>
      <c r="J102" s="348">
        <f t="shared" si="116"/>
        <v>1.395</v>
      </c>
      <c r="K102" s="348">
        <f t="shared" si="87"/>
        <v>1.395</v>
      </c>
      <c r="L102" s="4">
        <f t="shared" si="88"/>
        <v>0.77500000000000002</v>
      </c>
      <c r="M102" s="348">
        <f t="shared" si="89"/>
        <v>0.50506498897281038</v>
      </c>
      <c r="N102" s="4">
        <f t="shared" si="90"/>
        <v>0.60022449448935744</v>
      </c>
      <c r="O102" s="4">
        <f t="shared" si="117"/>
        <v>1.6951122472446787</v>
      </c>
      <c r="P102" s="4">
        <f t="shared" si="118"/>
        <v>1.0948877527553214</v>
      </c>
      <c r="Q102" s="4">
        <f t="shared" si="91"/>
        <v>0</v>
      </c>
      <c r="R102" s="4">
        <f t="shared" si="119"/>
        <v>1.405719550141048</v>
      </c>
      <c r="S102" s="348">
        <f t="shared" si="92"/>
        <v>6.9161660877706263E-3</v>
      </c>
      <c r="T102" s="348">
        <f t="shared" si="93"/>
        <v>0.2</v>
      </c>
      <c r="U102" s="348">
        <f t="shared" si="94"/>
        <v>0.20703071479247262</v>
      </c>
      <c r="V102" s="4">
        <f t="shared" si="120"/>
        <v>0.1732698867338188</v>
      </c>
      <c r="W102" s="348">
        <f t="shared" si="121"/>
        <v>6.0044907297500791E-5</v>
      </c>
      <c r="X102" s="348">
        <f t="shared" si="122"/>
        <v>6.0044907297500791E-5</v>
      </c>
      <c r="Y102" s="4">
        <f t="shared" si="123"/>
        <v>0.70282371165672552</v>
      </c>
      <c r="Z102" s="348">
        <f t="shared" si="124"/>
        <v>4.93961169666936E-4</v>
      </c>
      <c r="AA102" s="525">
        <f t="shared" si="125"/>
        <v>4.93961169666936E-4</v>
      </c>
      <c r="AB102" s="348">
        <f t="shared" si="126"/>
        <v>0.99901570827833142</v>
      </c>
      <c r="AC102" s="348">
        <f t="shared" si="95"/>
        <v>1.1976388624642273E-2</v>
      </c>
      <c r="AD102" s="348">
        <f t="shared" si="96"/>
        <v>1.4280598171099852E-2</v>
      </c>
      <c r="AE102" s="348">
        <f t="shared" si="97"/>
        <v>7.8115712399999981E-2</v>
      </c>
      <c r="AF102" s="348">
        <f t="shared" si="98"/>
        <v>0</v>
      </c>
      <c r="AG102" s="348">
        <f t="shared" si="99"/>
        <v>0.10458312392253558</v>
      </c>
      <c r="AH102" s="348">
        <f t="shared" si="100"/>
        <v>0.98894644357613937</v>
      </c>
      <c r="AI102" s="348">
        <f t="shared" si="101"/>
        <v>4.0098617798737654E-3</v>
      </c>
      <c r="AJ102" s="348">
        <f t="shared" si="102"/>
        <v>1.1092102559999999E-2</v>
      </c>
      <c r="AK102" s="348">
        <f t="shared" si="103"/>
        <v>1.5111829425203801E-2</v>
      </c>
      <c r="AL102" s="348">
        <f t="shared" si="104"/>
        <v>1.1092102559999999E-2</v>
      </c>
      <c r="AM102" s="348">
        <f t="shared" si="105"/>
        <v>0.14691376655999996</v>
      </c>
      <c r="AN102" s="348">
        <f t="shared" si="106"/>
        <v>4.9401186341218761E-2</v>
      </c>
      <c r="AO102" s="348">
        <f t="shared" si="107"/>
        <v>1.452E-5</v>
      </c>
      <c r="AP102" s="348">
        <f t="shared" si="108"/>
        <v>6.6937199999999988E-2</v>
      </c>
      <c r="AQ102" s="348">
        <f t="shared" si="109"/>
        <v>4.7164980923076916E-2</v>
      </c>
      <c r="AR102" s="348">
        <f t="shared" si="110"/>
        <v>2.1419903999999993E-2</v>
      </c>
      <c r="AS102" s="348">
        <f t="shared" si="133"/>
        <v>6.6951719999999992E-2</v>
      </c>
      <c r="AT102" s="348">
        <f t="shared" si="111"/>
        <v>0.60163844967839508</v>
      </c>
      <c r="AU102">
        <f t="shared" si="112"/>
        <v>4.6034999999999995</v>
      </c>
      <c r="AV102" s="526">
        <f t="shared" si="127"/>
        <v>0.88441451548410432</v>
      </c>
      <c r="AW102" s="534">
        <f t="shared" si="113"/>
        <v>8.4649408137896938</v>
      </c>
      <c r="AX102" s="534">
        <f t="shared" si="114"/>
        <v>2.5882502562731542</v>
      </c>
      <c r="AY102" s="9"/>
      <c r="AZ102" s="4">
        <f t="shared" si="128"/>
        <v>88.441451548410427</v>
      </c>
      <c r="BA102" s="348">
        <f t="shared" si="115"/>
        <v>0.20703071479247262</v>
      </c>
      <c r="BB102" s="348">
        <f t="shared" si="129"/>
        <v>0.26660871990773932</v>
      </c>
      <c r="BC102" s="348">
        <f t="shared" si="130"/>
        <v>0.20154620985213556</v>
      </c>
      <c r="BD102" s="348">
        <f t="shared" si="131"/>
        <v>6.3593372390003788E-2</v>
      </c>
      <c r="BE102" s="348">
        <f t="shared" si="132"/>
        <v>4.9401186341218761E-2</v>
      </c>
      <c r="BK102" s="18"/>
      <c r="BL102" s="19"/>
    </row>
    <row r="103" spans="7:64" x14ac:dyDescent="0.25">
      <c r="G103">
        <v>94</v>
      </c>
      <c r="H103" s="531">
        <f t="shared" si="85"/>
        <v>6.6</v>
      </c>
      <c r="I103" s="4">
        <f t="shared" si="86"/>
        <v>1</v>
      </c>
      <c r="J103" s="348">
        <f t="shared" si="116"/>
        <v>1.41</v>
      </c>
      <c r="K103" s="348">
        <f t="shared" si="87"/>
        <v>1.41</v>
      </c>
      <c r="L103" s="4">
        <f t="shared" si="88"/>
        <v>0.78333333333333333</v>
      </c>
      <c r="M103" s="348">
        <f t="shared" si="89"/>
        <v>0.50511925298353244</v>
      </c>
      <c r="N103" s="4">
        <f t="shared" si="90"/>
        <v>0.60024641037404936</v>
      </c>
      <c r="O103" s="4">
        <f t="shared" si="117"/>
        <v>1.7101232051870245</v>
      </c>
      <c r="P103" s="4">
        <f t="shared" si="118"/>
        <v>1.1098767948129753</v>
      </c>
      <c r="Q103" s="4">
        <f t="shared" si="91"/>
        <v>0</v>
      </c>
      <c r="R103" s="4">
        <f t="shared" si="119"/>
        <v>1.4206071399571536</v>
      </c>
      <c r="S103" s="348">
        <f t="shared" si="92"/>
        <v>7.0634362613403541E-3</v>
      </c>
      <c r="T103" s="348">
        <f t="shared" si="93"/>
        <v>0.2</v>
      </c>
      <c r="U103" s="348">
        <f t="shared" si="94"/>
        <v>0.20718050876680166</v>
      </c>
      <c r="V103" s="4">
        <f t="shared" si="120"/>
        <v>0.17327621330478199</v>
      </c>
      <c r="W103" s="348">
        <f t="shared" si="121"/>
        <v>6.0049292194488617E-5</v>
      </c>
      <c r="X103" s="348">
        <f t="shared" si="122"/>
        <v>6.0049292194488617E-5</v>
      </c>
      <c r="Y103" s="4">
        <f t="shared" si="123"/>
        <v>0.71026633950512041</v>
      </c>
      <c r="Z103" s="348">
        <f t="shared" si="124"/>
        <v>5.04478273034003E-4</v>
      </c>
      <c r="AA103" s="525">
        <f t="shared" si="125"/>
        <v>5.04478273034003E-4</v>
      </c>
      <c r="AB103" s="348">
        <f t="shared" si="126"/>
        <v>1.0096502432349015</v>
      </c>
      <c r="AC103" s="348">
        <f t="shared" si="95"/>
        <v>1.223272336397155E-2</v>
      </c>
      <c r="AD103" s="348">
        <f t="shared" si="96"/>
        <v>1.4434152990143936E-2</v>
      </c>
      <c r="AE103" s="348">
        <f t="shared" si="97"/>
        <v>7.8115712399999981E-2</v>
      </c>
      <c r="AF103" s="348">
        <f t="shared" si="98"/>
        <v>0</v>
      </c>
      <c r="AG103" s="348">
        <f t="shared" si="99"/>
        <v>0.10499837064577408</v>
      </c>
      <c r="AH103" s="348">
        <f t="shared" si="100"/>
        <v>0.99936531480382496</v>
      </c>
      <c r="AI103" s="348">
        <f t="shared" si="101"/>
        <v>4.094797232975087E-3</v>
      </c>
      <c r="AJ103" s="348">
        <f t="shared" si="102"/>
        <v>1.1211372479999997E-2</v>
      </c>
      <c r="AK103" s="348">
        <f t="shared" si="103"/>
        <v>1.5316380117241391E-2</v>
      </c>
      <c r="AL103" s="348">
        <f t="shared" si="104"/>
        <v>1.1211372479999997E-2</v>
      </c>
      <c r="AM103" s="348">
        <f t="shared" si="105"/>
        <v>0.14849348447999999</v>
      </c>
      <c r="AN103" s="348">
        <f t="shared" si="106"/>
        <v>5.0453116152431102E-2</v>
      </c>
      <c r="AO103" s="348">
        <f t="shared" si="107"/>
        <v>1.452E-5</v>
      </c>
      <c r="AP103" s="348">
        <f t="shared" si="108"/>
        <v>6.6937199999999988E-2</v>
      </c>
      <c r="AQ103" s="348">
        <f t="shared" si="109"/>
        <v>4.7164980923076916E-2</v>
      </c>
      <c r="AR103" s="348">
        <f t="shared" si="110"/>
        <v>2.1419903999999993E-2</v>
      </c>
      <c r="AS103" s="348">
        <f t="shared" si="133"/>
        <v>6.6951719999999992E-2</v>
      </c>
      <c r="AT103" s="348">
        <f t="shared" si="111"/>
        <v>0.60516948020747674</v>
      </c>
      <c r="AU103">
        <f t="shared" si="112"/>
        <v>4.6529999999999996</v>
      </c>
      <c r="AV103" s="526">
        <f t="shared" si="127"/>
        <v>0.88490871538366656</v>
      </c>
      <c r="AW103" s="534">
        <f t="shared" si="113"/>
        <v>8.5261709569081106</v>
      </c>
      <c r="AX103" s="534">
        <f t="shared" si="114"/>
        <v>2.6177926608226048</v>
      </c>
      <c r="AY103" s="9"/>
      <c r="AZ103" s="4">
        <f t="shared" si="128"/>
        <v>88.490871538366662</v>
      </c>
      <c r="BA103" s="348">
        <f t="shared" si="115"/>
        <v>0.20718050876680166</v>
      </c>
      <c r="BB103" s="348">
        <f t="shared" si="129"/>
        <v>0.26880823524301545</v>
      </c>
      <c r="BC103" s="348">
        <f t="shared" si="130"/>
        <v>0.20300407040257407</v>
      </c>
      <c r="BD103" s="348">
        <f t="shared" si="131"/>
        <v>6.4319229995641394E-2</v>
      </c>
      <c r="BE103" s="348">
        <f t="shared" si="132"/>
        <v>5.0453116152431102E-2</v>
      </c>
      <c r="BK103" s="18"/>
      <c r="BL103" s="19"/>
    </row>
    <row r="104" spans="7:64" x14ac:dyDescent="0.25">
      <c r="G104">
        <v>95</v>
      </c>
      <c r="H104" s="531">
        <f t="shared" si="85"/>
        <v>6.6</v>
      </c>
      <c r="I104" s="4">
        <f t="shared" si="86"/>
        <v>1</v>
      </c>
      <c r="J104" s="348">
        <f t="shared" si="116"/>
        <v>1.425</v>
      </c>
      <c r="K104" s="348">
        <f t="shared" si="87"/>
        <v>1.425</v>
      </c>
      <c r="L104" s="4">
        <f t="shared" si="88"/>
        <v>0.79166666666666663</v>
      </c>
      <c r="M104" s="348">
        <f t="shared" si="89"/>
        <v>0.50517351279197598</v>
      </c>
      <c r="N104" s="4">
        <f t="shared" si="90"/>
        <v>0.60026831211855192</v>
      </c>
      <c r="O104" s="4">
        <f t="shared" si="117"/>
        <v>1.7251341560592759</v>
      </c>
      <c r="P104" s="4">
        <f t="shared" si="118"/>
        <v>1.1248658439407242</v>
      </c>
      <c r="Q104" s="4">
        <f t="shared" si="91"/>
        <v>0</v>
      </c>
      <c r="R104" s="4">
        <f t="shared" si="119"/>
        <v>1.4354970697326896</v>
      </c>
      <c r="S104" s="348">
        <f t="shared" si="92"/>
        <v>7.2122814302389851E-3</v>
      </c>
      <c r="T104" s="348">
        <f t="shared" si="93"/>
        <v>0.2</v>
      </c>
      <c r="U104" s="348">
        <f t="shared" si="94"/>
        <v>0.2073319083160185</v>
      </c>
      <c r="V104" s="4">
        <f t="shared" si="120"/>
        <v>0.17328253579382413</v>
      </c>
      <c r="W104" s="348">
        <f t="shared" si="121"/>
        <v>6.0053674422275882E-5</v>
      </c>
      <c r="X104" s="348">
        <f t="shared" si="122"/>
        <v>6.0053674422275882E-5</v>
      </c>
      <c r="Y104" s="4">
        <f t="shared" si="123"/>
        <v>0.71771011242208005</v>
      </c>
      <c r="Z104" s="348">
        <f t="shared" si="124"/>
        <v>5.1510780547291482E-4</v>
      </c>
      <c r="AA104" s="525">
        <f t="shared" si="125"/>
        <v>5.1510780547291482E-4</v>
      </c>
      <c r="AB104" s="348">
        <f t="shared" si="126"/>
        <v>1.020287570856957</v>
      </c>
      <c r="AC104" s="348">
        <f t="shared" si="95"/>
        <v>1.2491840726942281E-2</v>
      </c>
      <c r="AD104" s="348">
        <f t="shared" si="96"/>
        <v>1.4587707809188021E-2</v>
      </c>
      <c r="AE104" s="348">
        <f t="shared" si="97"/>
        <v>7.8115712399999981E-2</v>
      </c>
      <c r="AF104" s="348">
        <f t="shared" si="98"/>
        <v>0</v>
      </c>
      <c r="AG104" s="348">
        <f t="shared" si="99"/>
        <v>0.10541649106688561</v>
      </c>
      <c r="AH104" s="348">
        <f t="shared" si="100"/>
        <v>1.009784684953158</v>
      </c>
      <c r="AI104" s="348">
        <f t="shared" si="101"/>
        <v>4.1806269508603885E-3</v>
      </c>
      <c r="AJ104" s="348">
        <f t="shared" si="102"/>
        <v>1.1330642399999999E-2</v>
      </c>
      <c r="AK104" s="348">
        <f t="shared" si="103"/>
        <v>1.5521833604992223E-2</v>
      </c>
      <c r="AL104" s="348">
        <f t="shared" si="104"/>
        <v>1.1330642399999999E-2</v>
      </c>
      <c r="AM104" s="348">
        <f t="shared" si="105"/>
        <v>0.15007320239999999</v>
      </c>
      <c r="AN104" s="348">
        <f t="shared" si="106"/>
        <v>5.1516295930278469E-2</v>
      </c>
      <c r="AO104" s="348">
        <f t="shared" si="107"/>
        <v>1.452E-5</v>
      </c>
      <c r="AP104" s="348">
        <f t="shared" si="108"/>
        <v>6.6937199999999988E-2</v>
      </c>
      <c r="AQ104" s="348">
        <f t="shared" si="109"/>
        <v>4.7164980923076916E-2</v>
      </c>
      <c r="AR104" s="348">
        <f t="shared" si="110"/>
        <v>2.1419903999999993E-2</v>
      </c>
      <c r="AS104" s="348">
        <f t="shared" si="133"/>
        <v>6.6951719999999992E-2</v>
      </c>
      <c r="AT104" s="348">
        <f t="shared" si="111"/>
        <v>0.60871725519807007</v>
      </c>
      <c r="AU104">
        <f t="shared" si="112"/>
        <v>4.7024999999999997</v>
      </c>
      <c r="AV104" s="526">
        <f t="shared" si="127"/>
        <v>0.88539025501125557</v>
      </c>
      <c r="AW104" s="534">
        <f t="shared" si="113"/>
        <v>8.5875217953371958</v>
      </c>
      <c r="AX104" s="534">
        <f t="shared" si="114"/>
        <v>2.6473718091575837</v>
      </c>
      <c r="AY104" s="9"/>
      <c r="AZ104" s="4">
        <f t="shared" si="128"/>
        <v>88.53902550112555</v>
      </c>
      <c r="BA104" s="348">
        <f t="shared" si="115"/>
        <v>0.2073319083160185</v>
      </c>
      <c r="BB104" s="348">
        <f t="shared" si="129"/>
        <v>0.27101152707187781</v>
      </c>
      <c r="BC104" s="348">
        <f t="shared" si="130"/>
        <v>0.20446480465088562</v>
      </c>
      <c r="BD104" s="348">
        <f t="shared" si="131"/>
        <v>6.5045990396992229E-2</v>
      </c>
      <c r="BE104" s="348">
        <f t="shared" si="132"/>
        <v>5.1516295930278469E-2</v>
      </c>
      <c r="BK104" s="18"/>
      <c r="BL104" s="19"/>
    </row>
    <row r="105" spans="7:64" x14ac:dyDescent="0.25">
      <c r="G105">
        <v>96</v>
      </c>
      <c r="H105" s="531">
        <f t="shared" si="85"/>
        <v>6.6</v>
      </c>
      <c r="I105" s="4">
        <f t="shared" si="86"/>
        <v>1</v>
      </c>
      <c r="J105" s="348">
        <f t="shared" si="116"/>
        <v>1.44</v>
      </c>
      <c r="K105" s="348">
        <f t="shared" si="87"/>
        <v>1.44</v>
      </c>
      <c r="L105" s="4">
        <f>Vout*K105/(Vin*Efficiency)</f>
        <v>0.8</v>
      </c>
      <c r="M105" s="348">
        <f t="shared" si="89"/>
        <v>0.50522776839862904</v>
      </c>
      <c r="N105" s="4">
        <f>(Vin-(Rdson1+Rdcr)*K105-Vout)*M105/(Fsw*Lf)</f>
        <v>0.60029019972450703</v>
      </c>
      <c r="O105" s="4">
        <f t="shared" si="117"/>
        <v>1.7401450998622534</v>
      </c>
      <c r="P105" s="4">
        <f t="shared" si="118"/>
        <v>1.1398549001377465</v>
      </c>
      <c r="Q105" s="4">
        <f>IF(MIN(Vin, -P105/(Coss_Q1+Coss_Q2)*0.00000002)&lt;0, 0, MIN(Vin, -P105/(Coss_Q1+Coss_Q2)*0.00000002))</f>
        <v>0</v>
      </c>
      <c r="R105" s="4">
        <f t="shared" si="119"/>
        <v>1.4503892674004593</v>
      </c>
      <c r="S105" s="348">
        <f>R105^2*Rdcr</f>
        <v>7.362701594466543E-3</v>
      </c>
      <c r="T105" s="348">
        <f t="shared" si="93"/>
        <v>0.2</v>
      </c>
      <c r="U105" s="348">
        <f>(T105+S105*(1+Ltc*(Ta-25)))/(1-S105*Ltc*ThetaCa)</f>
        <v>0.20748491355477514</v>
      </c>
      <c r="V105" s="4">
        <f t="shared" si="120"/>
        <v>0.17328885420141918</v>
      </c>
      <c r="W105" s="348">
        <f t="shared" si="121"/>
        <v>6.0058053980881424E-5</v>
      </c>
      <c r="X105" s="348">
        <f t="shared" si="122"/>
        <v>6.0058053980881424E-5</v>
      </c>
      <c r="Y105" s="4">
        <f t="shared" si="123"/>
        <v>0.72515499411283668</v>
      </c>
      <c r="Z105" s="348">
        <f t="shared" si="124"/>
        <v>5.2584976548678821E-4</v>
      </c>
      <c r="AA105" s="525">
        <f t="shared" si="125"/>
        <v>5.2584976548678821E-4</v>
      </c>
      <c r="AB105" s="348">
        <f t="shared" si="126"/>
        <v>1.0309276399655602</v>
      </c>
      <c r="AC105" s="348">
        <f>Rdson1*AB105^2</f>
        <v>1.275374158613952E-2</v>
      </c>
      <c r="AD105" s="348">
        <f t="shared" si="96"/>
        <v>1.4741262628232105E-2</v>
      </c>
      <c r="AE105" s="348">
        <f t="shared" si="97"/>
        <v>7.8115712399999981E-2</v>
      </c>
      <c r="AF105" s="348">
        <f t="shared" si="98"/>
        <v>0</v>
      </c>
      <c r="AG105" s="348">
        <f>(AF105+AE105+AD105+AC105*(1+RdsonTopTc*Ta-RdsonTopTc*25))/(1-AC105*RdsonTopTc*ThetaJA_Q1)</f>
        <v>0.10583748703962301</v>
      </c>
      <c r="AH105" s="348">
        <f t="shared" si="100"/>
        <v>1.020204503099982</v>
      </c>
      <c r="AI105" s="348">
        <f>Rdson2*AH105^2</f>
        <v>4.2673506353964729E-3</v>
      </c>
      <c r="AJ105" s="348">
        <f t="shared" si="102"/>
        <v>1.1449912319999998E-2</v>
      </c>
      <c r="AK105" s="348">
        <f>(AJ105+AI105*(1+RdsonBotTc*Ta-RdsonBotTc*25))/(1-AI105*RdsonBotTc*ThetaJA_Q2)</f>
        <v>1.5728189717018753E-2</v>
      </c>
      <c r="AL105" s="348">
        <f t="shared" si="104"/>
        <v>1.1449912319999998E-2</v>
      </c>
      <c r="AM105" s="348">
        <f t="shared" si="105"/>
        <v>0.15165292032</v>
      </c>
      <c r="AN105" s="348">
        <f t="shared" si="106"/>
        <v>5.2590725674761023E-2</v>
      </c>
      <c r="AO105" s="348">
        <f t="shared" si="107"/>
        <v>1.452E-5</v>
      </c>
      <c r="AP105" s="348">
        <f t="shared" si="108"/>
        <v>6.6937199999999988E-2</v>
      </c>
      <c r="AQ105" s="348">
        <f t="shared" si="109"/>
        <v>4.7164980923076916E-2</v>
      </c>
      <c r="AR105" s="348">
        <f t="shared" si="110"/>
        <v>2.1419903999999993E-2</v>
      </c>
      <c r="AS105" s="348">
        <f t="shared" si="133"/>
        <v>6.6951719999999992E-2</v>
      </c>
      <c r="AT105" s="348">
        <f xml:space="preserve"> SUM(U105,X105,AA105,AG105,AK105,AL105,AM105,AS105,AN105)</f>
        <v>0.61228177644564552</v>
      </c>
      <c r="AU105">
        <f t="shared" si="112"/>
        <v>4.7519999999999998</v>
      </c>
      <c r="AV105" s="526">
        <f t="shared" si="127"/>
        <v>0.88585950515609535</v>
      </c>
      <c r="AW105" s="534">
        <f t="shared" si="113"/>
        <v>8.6489934069345651</v>
      </c>
      <c r="AX105" s="534">
        <f t="shared" si="114"/>
        <v>2.6769876943005837</v>
      </c>
      <c r="AY105" s="9"/>
      <c r="AZ105" s="4">
        <f t="shared" si="128"/>
        <v>88.585950515609539</v>
      </c>
      <c r="BA105" s="348">
        <f t="shared" si="115"/>
        <v>0.20748491355477514</v>
      </c>
      <c r="BB105" s="348">
        <f t="shared" si="129"/>
        <v>0.27321859707664176</v>
      </c>
      <c r="BC105" s="348">
        <f t="shared" si="130"/>
        <v>0.20592841445082299</v>
      </c>
      <c r="BD105" s="348">
        <f t="shared" si="131"/>
        <v>6.5773653422618761E-2</v>
      </c>
      <c r="BE105" s="348">
        <f t="shared" si="132"/>
        <v>5.2590725674761023E-2</v>
      </c>
      <c r="BK105" s="18"/>
      <c r="BL105" s="19"/>
    </row>
    <row r="106" spans="7:64" x14ac:dyDescent="0.25">
      <c r="G106">
        <v>97</v>
      </c>
      <c r="H106" s="531">
        <f t="shared" si="85"/>
        <v>6.6</v>
      </c>
      <c r="I106" s="4">
        <f t="shared" si="86"/>
        <v>1</v>
      </c>
      <c r="J106" s="348">
        <f t="shared" si="116"/>
        <v>1.4550000000000001</v>
      </c>
      <c r="K106" s="348">
        <f t="shared" si="87"/>
        <v>1.4550000000000001</v>
      </c>
      <c r="L106" s="4">
        <f>Vout*K106/(Vin*Efficiency)</f>
        <v>0.80833333333333335</v>
      </c>
      <c r="M106" s="348">
        <f t="shared" si="89"/>
        <v>0.5052820198039798</v>
      </c>
      <c r="N106" s="4">
        <f>(Vin-(Rdson1+Rdcr)*K106-Vout)*M106/(Fsw*Lf)</f>
        <v>0.60031207319355739</v>
      </c>
      <c r="O106" s="4">
        <f t="shared" si="117"/>
        <v>1.7551560365967789</v>
      </c>
      <c r="P106" s="4">
        <f t="shared" si="118"/>
        <v>1.1548439634032213</v>
      </c>
      <c r="Q106" s="4">
        <f>IF(MIN(Vin, -P106/(Coss_Q1+Coss_Q2)*0.00000002)&lt;0, 0, MIN(Vin, -P106/(Coss_Q1+Coss_Q2)*0.00000002))</f>
        <v>0</v>
      </c>
      <c r="R106" s="4">
        <f t="shared" si="119"/>
        <v>1.4652836638122881</v>
      </c>
      <c r="S106" s="348">
        <f>R106^2*Rdcr</f>
        <v>7.5146967540230692E-3</v>
      </c>
      <c r="T106" s="348">
        <f t="shared" si="93"/>
        <v>0.2</v>
      </c>
      <c r="U106" s="348">
        <f>(T106+S106*(1+Ltc*(Ta-25)))/(1-S106*Ltc*ThetaCa)</f>
        <v>0.20763952459894394</v>
      </c>
      <c r="V106" s="4">
        <f t="shared" si="120"/>
        <v>0.17329516852804136</v>
      </c>
      <c r="W106" s="348">
        <f t="shared" si="121"/>
        <v>6.0062430870324515E-5</v>
      </c>
      <c r="X106" s="348">
        <f t="shared" si="122"/>
        <v>6.0062430870324515E-5</v>
      </c>
      <c r="Y106" s="4">
        <f t="shared" si="123"/>
        <v>0.73260094974221401</v>
      </c>
      <c r="Z106" s="348">
        <f t="shared" si="124"/>
        <v>5.3670415156319401E-4</v>
      </c>
      <c r="AA106" s="525">
        <f t="shared" si="125"/>
        <v>5.3670415156319401E-4</v>
      </c>
      <c r="AB106" s="348">
        <f t="shared" si="126"/>
        <v>1.0415704014457055</v>
      </c>
      <c r="AC106" s="348">
        <f>Rdson1*AB106^2</f>
        <v>1.3018426814013216E-2</v>
      </c>
      <c r="AD106" s="348">
        <f t="shared" si="96"/>
        <v>1.4894817447276189E-2</v>
      </c>
      <c r="AE106" s="348">
        <f t="shared" si="97"/>
        <v>7.8115712399999981E-2</v>
      </c>
      <c r="AF106" s="348">
        <f t="shared" si="98"/>
        <v>0</v>
      </c>
      <c r="AG106" s="348">
        <f>(AF106+AE106+AD106+AC106*(1+RdsonTopTc*Ta-RdsonTopTc*25))/(1-AC106*RdsonTopTc*ThetaJA_Q1)</f>
        <v>0.106261360426259</v>
      </c>
      <c r="AH106" s="348">
        <f t="shared" si="100"/>
        <v>1.0306247203843866</v>
      </c>
      <c r="AI106" s="348">
        <f>Rdson2*AH106^2</f>
        <v>4.354967988496319E-3</v>
      </c>
      <c r="AJ106" s="348">
        <f t="shared" si="102"/>
        <v>1.1569182239999998E-2</v>
      </c>
      <c r="AK106" s="348">
        <f>(AJ106+AI106*(1+RdsonBotTc*Ta-RdsonBotTc*25))/(1-AI106*RdsonBotTc*ThetaJA_Q2)</f>
        <v>1.5935448282668886E-2</v>
      </c>
      <c r="AL106" s="348">
        <f t="shared" si="104"/>
        <v>1.1569182239999998E-2</v>
      </c>
      <c r="AM106" s="348">
        <f t="shared" si="105"/>
        <v>0.15323263824</v>
      </c>
      <c r="AN106" s="348">
        <f t="shared" si="106"/>
        <v>5.3676405385879068E-2</v>
      </c>
      <c r="AO106" s="348">
        <f t="shared" si="107"/>
        <v>1.452E-5</v>
      </c>
      <c r="AP106" s="348">
        <f t="shared" si="108"/>
        <v>6.6937199999999988E-2</v>
      </c>
      <c r="AQ106" s="348">
        <f t="shared" si="109"/>
        <v>4.7164980923076916E-2</v>
      </c>
      <c r="AR106" s="348">
        <f t="shared" si="110"/>
        <v>2.1419903999999993E-2</v>
      </c>
      <c r="AS106" s="348">
        <f t="shared" si="133"/>
        <v>6.6951719999999992E-2</v>
      </c>
      <c r="AT106" s="348">
        <f xml:space="preserve"> SUM(U106,X106,AA106,AG106,AK106,AL106,AM106,AS106,AN106)</f>
        <v>0.61586304575618434</v>
      </c>
      <c r="AU106">
        <f t="shared" si="112"/>
        <v>4.8014999999999999</v>
      </c>
      <c r="AV106" s="526">
        <f t="shared" si="127"/>
        <v>0.88631682230737052</v>
      </c>
      <c r="AW106" s="534">
        <f t="shared" si="113"/>
        <v>8.7105858699156791</v>
      </c>
      <c r="AX106" s="534">
        <f t="shared" si="114"/>
        <v>2.706640309306064</v>
      </c>
      <c r="AY106" s="9"/>
      <c r="AZ106" s="4">
        <f t="shared" si="128"/>
        <v>88.631682230737056</v>
      </c>
      <c r="BA106" s="348">
        <f t="shared" si="115"/>
        <v>0.20763952459894394</v>
      </c>
      <c r="BB106" s="348">
        <f t="shared" si="129"/>
        <v>0.2754294469489279</v>
      </c>
      <c r="BC106" s="348">
        <f t="shared" si="130"/>
        <v>0.20739490166465901</v>
      </c>
      <c r="BD106" s="348">
        <f t="shared" si="131"/>
        <v>6.6502218901868887E-2</v>
      </c>
      <c r="BE106" s="348">
        <f t="shared" si="132"/>
        <v>5.3676405385879068E-2</v>
      </c>
      <c r="BK106" s="18"/>
      <c r="BL106" s="19"/>
    </row>
    <row r="107" spans="7:64" x14ac:dyDescent="0.25">
      <c r="G107">
        <v>98</v>
      </c>
      <c r="H107" s="531">
        <f t="shared" si="85"/>
        <v>6.6</v>
      </c>
      <c r="I107" s="4">
        <f t="shared" si="86"/>
        <v>1</v>
      </c>
      <c r="J107" s="348">
        <f t="shared" si="116"/>
        <v>1.47</v>
      </c>
      <c r="K107" s="348">
        <f t="shared" si="87"/>
        <v>1.47</v>
      </c>
      <c r="L107" s="4">
        <f>Vout*K107/(Vin*Efficiency)</f>
        <v>0.81666666666666676</v>
      </c>
      <c r="M107" s="348">
        <f t="shared" si="89"/>
        <v>0.50533626700851619</v>
      </c>
      <c r="N107" s="4">
        <f>(Vin-(Rdson1+Rdcr)*K107-Vout)*M107/(Fsw*Lf)</f>
        <v>0.6003339325273449</v>
      </c>
      <c r="O107" s="4">
        <f t="shared" si="117"/>
        <v>1.7701669662636723</v>
      </c>
      <c r="P107" s="4">
        <f t="shared" si="118"/>
        <v>1.1698330337363276</v>
      </c>
      <c r="Q107" s="4">
        <f>IF(MIN(Vin, -P107/(Coss_Q1+Coss_Q2)*0.00000002)&lt;0, 0, MIN(Vin, -P107/(Coss_Q1+Coss_Q2)*0.00000002))</f>
        <v>0</v>
      </c>
      <c r="R107" s="4">
        <f t="shared" si="119"/>
        <v>1.4801801925932234</v>
      </c>
      <c r="S107" s="348">
        <f>R107^2*Rdcr</f>
        <v>7.6682669089085925E-3</v>
      </c>
      <c r="T107" s="348">
        <f t="shared" si="93"/>
        <v>0.2</v>
      </c>
      <c r="U107" s="348">
        <f>(T107+S107*(1+Ltc*(Ta-25)))/(1-S107*Ltc*ThetaCa)</f>
        <v>0.20779574156561739</v>
      </c>
      <c r="V107" s="4">
        <f t="shared" si="120"/>
        <v>0.1733014787741646</v>
      </c>
      <c r="W107" s="348">
        <f t="shared" si="121"/>
        <v>6.0066805090624447E-5</v>
      </c>
      <c r="X107" s="348">
        <f t="shared" si="122"/>
        <v>6.0066805090624447E-5</v>
      </c>
      <c r="Y107" s="4">
        <f t="shared" si="123"/>
        <v>0.74004794586172651</v>
      </c>
      <c r="Z107" s="348">
        <f t="shared" si="124"/>
        <v>5.4767096217416087E-4</v>
      </c>
      <c r="AA107" s="525">
        <f t="shared" si="125"/>
        <v>5.4767096217416087E-4</v>
      </c>
      <c r="AB107" s="348">
        <f t="shared" si="126"/>
        <v>1.052215808143232</v>
      </c>
      <c r="AC107" s="348">
        <f>Rdson1*AB107^2</f>
        <v>1.3285897282878179E-2</v>
      </c>
      <c r="AD107" s="348">
        <f t="shared" si="96"/>
        <v>1.5048372266320274E-2</v>
      </c>
      <c r="AE107" s="348">
        <f t="shared" si="97"/>
        <v>7.8115712399999981E-2</v>
      </c>
      <c r="AF107" s="348">
        <f t="shared" si="98"/>
        <v>0</v>
      </c>
      <c r="AG107" s="348">
        <f>(AF107+AE107+AD107+AC107*(1+RdsonTopTc*Ta-RdsonTopTc*25))/(1-AC107*RdsonTopTc*ThetaJA_Q1)</f>
        <v>0.1066881130976008</v>
      </c>
      <c r="AH107" s="348">
        <f t="shared" si="100"/>
        <v>1.0410452899075993</v>
      </c>
      <c r="AI107" s="348">
        <f>Rdson2*AH107^2</f>
        <v>4.4434787121190684E-3</v>
      </c>
      <c r="AJ107" s="348">
        <f t="shared" si="102"/>
        <v>1.1688452159999998E-2</v>
      </c>
      <c r="AK107" s="348">
        <f>(AJ107+AI107*(1+RdsonBotTc*Ta-RdsonBotTc*25))/(1-AI107*RdsonBotTc*ThetaJA_Q2)</f>
        <v>1.6143609132075333E-2</v>
      </c>
      <c r="AL107" s="348">
        <f t="shared" si="104"/>
        <v>1.1688452159999998E-2</v>
      </c>
      <c r="AM107" s="348">
        <f t="shared" si="105"/>
        <v>0.15481235615999997</v>
      </c>
      <c r="AN107" s="348">
        <f t="shared" si="106"/>
        <v>5.47733350636328E-2</v>
      </c>
      <c r="AO107" s="348">
        <f t="shared" si="107"/>
        <v>1.452E-5</v>
      </c>
      <c r="AP107" s="348">
        <f t="shared" si="108"/>
        <v>6.6937199999999988E-2</v>
      </c>
      <c r="AQ107" s="348">
        <f t="shared" si="109"/>
        <v>4.7164980923076916E-2</v>
      </c>
      <c r="AR107" s="348">
        <f t="shared" si="110"/>
        <v>2.1419903999999993E-2</v>
      </c>
      <c r="AS107" s="348">
        <f t="shared" si="133"/>
        <v>6.6951719999999992E-2</v>
      </c>
      <c r="AT107" s="348">
        <f xml:space="preserve"> SUM(U107,X107,AA107,AG107,AK107,AL107,AM107,AS107,AN107)</f>
        <v>0.61946106494619113</v>
      </c>
      <c r="AU107">
        <f t="shared" si="112"/>
        <v>4.851</v>
      </c>
      <c r="AV107" s="526">
        <f t="shared" si="127"/>
        <v>0.88676254933691145</v>
      </c>
      <c r="AW107" s="534">
        <f t="shared" si="113"/>
        <v>8.7722992628544336</v>
      </c>
      <c r="AX107" s="534">
        <f t="shared" si="114"/>
        <v>2.7363296472604262</v>
      </c>
      <c r="AY107" s="9"/>
      <c r="AZ107" s="4">
        <f t="shared" si="128"/>
        <v>88.676254933691141</v>
      </c>
      <c r="BA107" s="348">
        <f t="shared" si="115"/>
        <v>0.20779574156561739</v>
      </c>
      <c r="BB107" s="348">
        <f t="shared" si="129"/>
        <v>0.27764407838967609</v>
      </c>
      <c r="BC107" s="348">
        <f t="shared" si="130"/>
        <v>0.20886426816320081</v>
      </c>
      <c r="BD107" s="348">
        <f t="shared" si="131"/>
        <v>6.7231686664875334E-2</v>
      </c>
      <c r="BE107" s="348">
        <f t="shared" si="132"/>
        <v>5.47733350636328E-2</v>
      </c>
      <c r="BK107" s="18"/>
      <c r="BL107" s="19"/>
    </row>
    <row r="108" spans="7:64" x14ac:dyDescent="0.25">
      <c r="G108">
        <v>99</v>
      </c>
      <c r="H108" s="531">
        <f t="shared" si="85"/>
        <v>6.6</v>
      </c>
      <c r="I108" s="4">
        <f t="shared" si="86"/>
        <v>1</v>
      </c>
      <c r="J108" s="348">
        <f t="shared" si="116"/>
        <v>1.4850000000000001</v>
      </c>
      <c r="K108" s="348">
        <f t="shared" si="87"/>
        <v>1.4850000000000001</v>
      </c>
      <c r="L108" s="4">
        <f>Vout*K108/(Vin*Efficiency)</f>
        <v>0.82500000000000007</v>
      </c>
      <c r="M108" s="348">
        <f t="shared" si="89"/>
        <v>0.50539051001272606</v>
      </c>
      <c r="N108" s="4">
        <f>(Vin-(Rdson1+Rdcr)*K108-Vout)*M108/(Fsw*Lf)</f>
        <v>0.60035577772751125</v>
      </c>
      <c r="O108" s="4">
        <f t="shared" si="117"/>
        <v>1.7851778888637557</v>
      </c>
      <c r="P108" s="4">
        <f t="shared" si="118"/>
        <v>1.1848221111362445</v>
      </c>
      <c r="Q108" s="4">
        <f>IF(MIN(Vin, -P108/(Coss_Q1+Coss_Q2)*0.00000002)&lt;0, 0, MIN(Vin, -P108/(Coss_Q1+Coss_Q2)*0.00000002))</f>
        <v>0</v>
      </c>
      <c r="R108" s="4">
        <f t="shared" si="119"/>
        <v>1.4950787900043598</v>
      </c>
      <c r="S108" s="348">
        <f>R108^2*Rdcr</f>
        <v>7.8234120591231526E-3</v>
      </c>
      <c r="T108" s="348">
        <f t="shared" si="93"/>
        <v>0.2</v>
      </c>
      <c r="U108" s="348">
        <f>(T108+S108*(1+Ltc*(Ta-25)))/(1-S108*Ltc*ThetaCa)</f>
        <v>0.20795356457310868</v>
      </c>
      <c r="V108" s="4">
        <f t="shared" si="120"/>
        <v>0.17330778494026289</v>
      </c>
      <c r="W108" s="348">
        <f t="shared" si="121"/>
        <v>6.0071176641800824E-5</v>
      </c>
      <c r="X108" s="348">
        <f t="shared" si="122"/>
        <v>6.0071176641800824E-5</v>
      </c>
      <c r="Y108" s="4">
        <f t="shared" si="123"/>
        <v>0.74749595034099248</v>
      </c>
      <c r="Z108" s="348">
        <f t="shared" si="124"/>
        <v>5.5875019577618346E-4</v>
      </c>
      <c r="AA108" s="525">
        <f t="shared" si="125"/>
        <v>5.5875019577618346E-4</v>
      </c>
      <c r="AB108" s="348">
        <f t="shared" si="126"/>
        <v>1.0628638147678404</v>
      </c>
      <c r="AC108" s="348">
        <f>Rdson1*AB108^2</f>
        <v>1.3556153864914156E-2</v>
      </c>
      <c r="AD108" s="348">
        <f t="shared" si="96"/>
        <v>1.520192708536436E-2</v>
      </c>
      <c r="AE108" s="348">
        <f t="shared" si="97"/>
        <v>7.8115712399999981E-2</v>
      </c>
      <c r="AF108" s="348">
        <f t="shared" si="98"/>
        <v>0</v>
      </c>
      <c r="AG108" s="348">
        <f>(AF108+AE108+AD108+AC108*(1+RdsonTopTc*Ta-RdsonTopTc*25))/(1-AC108*RdsonTopTc*ThetaJA_Q1)</f>
        <v>0.10711774693300506</v>
      </c>
      <c r="AH108" s="348">
        <f t="shared" si="100"/>
        <v>1.0514661666349776</v>
      </c>
      <c r="AI108" s="348">
        <f>Rdson2*AH108^2</f>
        <v>4.5328825082700227E-3</v>
      </c>
      <c r="AJ108" s="348">
        <f t="shared" si="102"/>
        <v>1.1807722079999999E-2</v>
      </c>
      <c r="AK108" s="348">
        <f>(AJ108+AI108*(1+RdsonBotTc*Ta-RdsonBotTc*25))/(1-AI108*RdsonBotTc*ThetaJA_Q2)</f>
        <v>1.6352672096154985E-2</v>
      </c>
      <c r="AL108" s="348">
        <f t="shared" si="104"/>
        <v>1.1807722079999999E-2</v>
      </c>
      <c r="AM108" s="348">
        <f t="shared" si="105"/>
        <v>0.15639207408</v>
      </c>
      <c r="AN108" s="348">
        <f t="shared" si="106"/>
        <v>5.5881514708022523E-2</v>
      </c>
      <c r="AO108" s="348">
        <f t="shared" si="107"/>
        <v>1.452E-5</v>
      </c>
      <c r="AP108" s="348">
        <f t="shared" si="108"/>
        <v>6.6937199999999988E-2</v>
      </c>
      <c r="AQ108" s="348">
        <f t="shared" si="109"/>
        <v>4.7164980923076916E-2</v>
      </c>
      <c r="AR108" s="348">
        <f t="shared" si="110"/>
        <v>2.1419903999999993E-2</v>
      </c>
      <c r="AS108" s="348">
        <f t="shared" si="133"/>
        <v>6.6951719999999992E-2</v>
      </c>
      <c r="AT108" s="348">
        <f xml:space="preserve"> SUM(U108,X108,AA108,AG108,AK108,AL108,AM108,AS108,AN108)</f>
        <v>0.62307583584270909</v>
      </c>
      <c r="AU108">
        <f t="shared" si="112"/>
        <v>4.9005000000000001</v>
      </c>
      <c r="AV108" s="526">
        <f t="shared" si="127"/>
        <v>0.88719701614313973</v>
      </c>
      <c r="AW108" s="534">
        <f t="shared" si="113"/>
        <v>8.8341336646838133</v>
      </c>
      <c r="AX108" s="534">
        <f t="shared" si="114"/>
        <v>2.7660557012819886</v>
      </c>
      <c r="AY108" s="9"/>
      <c r="AZ108" s="4">
        <f t="shared" si="128"/>
        <v>88.719701614313976</v>
      </c>
      <c r="BA108" s="348">
        <f t="shared" si="115"/>
        <v>0.20795356457310868</v>
      </c>
      <c r="BB108" s="348">
        <f t="shared" si="129"/>
        <v>0.27986249310916006</v>
      </c>
      <c r="BC108" s="348">
        <f t="shared" si="130"/>
        <v>0.21033651582580506</v>
      </c>
      <c r="BD108" s="348">
        <f t="shared" si="131"/>
        <v>6.7962056542554994E-2</v>
      </c>
      <c r="BE108" s="348">
        <f t="shared" si="132"/>
        <v>5.5881514708022523E-2</v>
      </c>
      <c r="BK108" s="18"/>
      <c r="BL108" s="19"/>
    </row>
    <row r="109" spans="7:64" x14ac:dyDescent="0.25">
      <c r="G109">
        <v>100</v>
      </c>
      <c r="H109" s="531">
        <f t="shared" si="85"/>
        <v>6.6</v>
      </c>
      <c r="I109" s="4">
        <f t="shared" si="86"/>
        <v>1</v>
      </c>
      <c r="J109" s="348">
        <f t="shared" si="116"/>
        <v>1.5</v>
      </c>
      <c r="K109" s="348">
        <f t="shared" si="87"/>
        <v>1.5</v>
      </c>
      <c r="L109" s="4">
        <f>Vout*K109/(Vin*Efficiency)</f>
        <v>0.83333333333333326</v>
      </c>
      <c r="M109" s="348">
        <f t="shared" si="89"/>
        <v>0.50544474881709722</v>
      </c>
      <c r="N109" s="4">
        <f>(Vin-(Rdson1+Rdcr)*K109-Vout)*M109/(Fsw*Lf)</f>
        <v>0.60037760879569779</v>
      </c>
      <c r="O109" s="4">
        <f t="shared" si="117"/>
        <v>1.8001888043978489</v>
      </c>
      <c r="P109" s="4">
        <f t="shared" si="118"/>
        <v>1.1998111956021511</v>
      </c>
      <c r="Q109" s="4">
        <f>IF(MIN(Vin, -P109/(Coss_Q1+Coss_Q2)*0.00000002)&lt;0, 0, MIN(Vin, -P109/(Coss_Q1+Coss_Q2)*0.00000002))</f>
        <v>0</v>
      </c>
      <c r="R109" s="4">
        <f t="shared" si="119"/>
        <v>1.5099793948136964</v>
      </c>
      <c r="S109" s="348">
        <f>R109^2*Rdcr</f>
        <v>7.9801322046667792E-3</v>
      </c>
      <c r="T109" s="348">
        <f t="shared" si="93"/>
        <v>0.2</v>
      </c>
      <c r="U109" s="348">
        <f>(T109+S109*(1+Ltc*(Ta-25)))/(1-S109*Ltc*ThetaCa)</f>
        <v>0.20811299374095174</v>
      </c>
      <c r="V109" s="4">
        <f t="shared" si="120"/>
        <v>0.17331408702680998</v>
      </c>
      <c r="W109" s="348">
        <f t="shared" si="121"/>
        <v>6.0075545523873331E-5</v>
      </c>
      <c r="X109" s="348">
        <f t="shared" si="122"/>
        <v>6.0075545523873331E-5</v>
      </c>
      <c r="Y109" s="4">
        <f t="shared" si="123"/>
        <v>0.7549449323031624</v>
      </c>
      <c r="Z109" s="348">
        <f t="shared" si="124"/>
        <v>5.6994185081022644E-4</v>
      </c>
      <c r="AA109" s="525">
        <f t="shared" si="125"/>
        <v>5.6994185081022644E-4</v>
      </c>
      <c r="AB109" s="348">
        <f t="shared" si="126"/>
        <v>1.0735143778017837</v>
      </c>
      <c r="AC109" s="348">
        <f>Rdson1*AB109^2</f>
        <v>1.3829197432165811E-2</v>
      </c>
      <c r="AD109" s="348">
        <f t="shared" si="96"/>
        <v>1.5355481904408441E-2</v>
      </c>
      <c r="AE109" s="348">
        <f t="shared" si="97"/>
        <v>7.8115712399999981E-2</v>
      </c>
      <c r="AF109" s="348">
        <f t="shared" si="98"/>
        <v>0</v>
      </c>
      <c r="AG109" s="348">
        <f>(AF109+AE109+AD109+AC109*(1+RdsonTopTc*Ta-RdsonTopTc*25))/(1-AC109*RdsonTopTc*ThetaJA_Q1)</f>
        <v>0.10755026382039287</v>
      </c>
      <c r="AH109" s="348">
        <f t="shared" si="100"/>
        <v>1.0618873073046808</v>
      </c>
      <c r="AI109" s="348">
        <f>Rdson2*AH109^2</f>
        <v>4.623179079000621E-3</v>
      </c>
      <c r="AJ109" s="348">
        <f t="shared" si="102"/>
        <v>1.1926991999999997E-2</v>
      </c>
      <c r="AK109" s="348">
        <f>(AJ109+AI109*(1+RdsonBotTc*Ta-RdsonBotTc*25))/(1-AI109*RdsonBotTc*ThetaJA_Q2)</f>
        <v>1.6562637006608268E-2</v>
      </c>
      <c r="AL109" s="348">
        <f t="shared" si="104"/>
        <v>1.1926991999999997E-2</v>
      </c>
      <c r="AM109" s="348">
        <f t="shared" si="105"/>
        <v>0.157971792</v>
      </c>
      <c r="AN109" s="348">
        <f t="shared" si="106"/>
        <v>5.7000944319048424E-2</v>
      </c>
      <c r="AO109" s="348">
        <f t="shared" si="107"/>
        <v>1.452E-5</v>
      </c>
      <c r="AP109" s="348">
        <f t="shared" si="108"/>
        <v>6.6937199999999988E-2</v>
      </c>
      <c r="AQ109" s="348">
        <f t="shared" si="109"/>
        <v>4.7164980923076916E-2</v>
      </c>
      <c r="AR109" s="348">
        <f t="shared" si="110"/>
        <v>2.1419903999999993E-2</v>
      </c>
      <c r="AS109" s="348">
        <f t="shared" si="133"/>
        <v>6.6951719999999992E-2</v>
      </c>
      <c r="AT109" s="348">
        <f xml:space="preserve"> SUM(U109,X109,AA109,AG109,AK109,AL109,AM109,AS109,AN109)</f>
        <v>0.62670736028333529</v>
      </c>
      <c r="AU109">
        <f t="shared" si="112"/>
        <v>4.9499999999999993</v>
      </c>
      <c r="AV109" s="526">
        <f t="shared" si="127"/>
        <v>0.88762054025881421</v>
      </c>
      <c r="AW109" s="534">
        <f t="shared" si="113"/>
        <v>8.8960891546965009</v>
      </c>
      <c r="AX109" s="534">
        <f t="shared" si="114"/>
        <v>2.7958184645209569</v>
      </c>
      <c r="AY109" s="9"/>
      <c r="AZ109" s="4">
        <f t="shared" si="128"/>
        <v>88.762054025881426</v>
      </c>
      <c r="BA109" s="348">
        <f t="shared" si="115"/>
        <v>0.20811299374095174</v>
      </c>
      <c r="BB109" s="348">
        <f t="shared" si="129"/>
        <v>0.2820846928270011</v>
      </c>
      <c r="BC109" s="348">
        <f t="shared" si="130"/>
        <v>0.21181164654039286</v>
      </c>
      <c r="BD109" s="348">
        <f t="shared" si="131"/>
        <v>6.8693328366608269E-2</v>
      </c>
      <c r="BE109" s="348">
        <f t="shared" si="132"/>
        <v>5.7000944319048424E-2</v>
      </c>
      <c r="BK109" s="18"/>
      <c r="BL109" s="19"/>
    </row>
    <row r="110" spans="7:64" x14ac:dyDescent="0.25">
      <c r="H110" s="531"/>
      <c r="I110" s="4"/>
      <c r="J110" s="4"/>
      <c r="L110" s="4"/>
      <c r="R110" s="348"/>
      <c r="S110" s="348"/>
      <c r="T110" s="348"/>
      <c r="U110" s="348"/>
      <c r="W110" s="348"/>
      <c r="X110" s="348"/>
      <c r="Y110" s="348"/>
      <c r="Z110" s="348"/>
      <c r="AA110" s="525"/>
      <c r="AB110" s="348"/>
      <c r="AC110" s="348"/>
      <c r="AD110" s="348"/>
      <c r="AE110" s="348"/>
      <c r="AG110" s="348"/>
      <c r="AH110" s="348"/>
      <c r="AI110" s="348"/>
      <c r="AJ110" s="348"/>
      <c r="AK110" s="348"/>
      <c r="AL110" s="348"/>
      <c r="AM110" s="348"/>
      <c r="AN110" s="348"/>
      <c r="AO110" s="348"/>
      <c r="AP110" s="348"/>
      <c r="AQ110" s="348"/>
      <c r="AR110" s="348"/>
      <c r="AS110" s="348"/>
      <c r="AT110" s="348"/>
      <c r="AV110" s="526"/>
      <c r="AW110" s="534"/>
      <c r="AX110" s="534"/>
      <c r="AY110" s="9"/>
      <c r="AZ110" s="48"/>
      <c r="BA110" s="348"/>
      <c r="BB110" s="348"/>
      <c r="BC110" s="348"/>
      <c r="BD110" s="348"/>
      <c r="BE110" s="348"/>
    </row>
    <row r="111" spans="7:64" x14ac:dyDescent="0.25">
      <c r="H111" s="531"/>
      <c r="I111" s="4"/>
      <c r="J111" s="4"/>
      <c r="L111" s="4"/>
      <c r="R111" s="348"/>
      <c r="S111" s="348"/>
      <c r="T111" s="348"/>
      <c r="U111" s="348"/>
      <c r="W111" s="348"/>
      <c r="X111" s="348"/>
      <c r="Y111" s="348"/>
      <c r="Z111" s="348"/>
      <c r="AA111" s="525"/>
      <c r="AB111" s="348"/>
      <c r="AC111" s="348"/>
      <c r="AD111" s="348"/>
      <c r="AE111" s="348"/>
      <c r="AG111" s="348"/>
      <c r="AH111" s="348"/>
      <c r="AI111" s="348"/>
      <c r="AJ111" s="348"/>
      <c r="AK111" s="348"/>
      <c r="AL111" s="348"/>
      <c r="AM111" s="348"/>
      <c r="AN111" s="348"/>
      <c r="AO111" s="348"/>
      <c r="AP111" s="348"/>
      <c r="AQ111" s="348"/>
      <c r="AR111" s="348"/>
      <c r="AS111" s="348"/>
      <c r="AT111" s="348"/>
      <c r="AV111" s="526"/>
      <c r="AW111" s="534"/>
      <c r="AX111" s="534"/>
      <c r="AY111" s="9"/>
      <c r="AZ111" s="48"/>
      <c r="BA111" s="348"/>
      <c r="BB111" s="348"/>
      <c r="BC111" s="348"/>
      <c r="BD111" s="348"/>
      <c r="BE111" s="348"/>
    </row>
    <row r="112" spans="7:64" x14ac:dyDescent="0.25">
      <c r="H112" s="531"/>
      <c r="I112" s="4"/>
      <c r="J112" s="4"/>
      <c r="L112" s="4"/>
      <c r="R112" s="348"/>
      <c r="S112" s="348"/>
      <c r="T112" s="348"/>
      <c r="U112" s="348"/>
      <c r="W112" s="348"/>
      <c r="X112" s="348"/>
      <c r="Y112" s="348"/>
      <c r="Z112" s="348"/>
      <c r="AA112" s="525"/>
      <c r="AB112" s="348"/>
      <c r="AC112" s="348"/>
      <c r="AD112" s="348"/>
      <c r="AE112" s="348"/>
      <c r="AG112" s="348"/>
      <c r="AH112" s="348"/>
      <c r="AI112" s="348"/>
      <c r="AJ112" s="348"/>
      <c r="AK112" s="348"/>
      <c r="AL112" s="348"/>
      <c r="AM112" s="348"/>
      <c r="AN112" s="348"/>
      <c r="AO112" s="348"/>
      <c r="AP112" s="348"/>
      <c r="AQ112" s="348"/>
      <c r="AR112" s="348"/>
      <c r="AS112" s="348"/>
      <c r="AT112" s="348"/>
      <c r="AV112" s="526"/>
      <c r="AW112" s="534"/>
      <c r="AX112" s="534"/>
      <c r="AY112" s="9"/>
      <c r="AZ112" s="48"/>
      <c r="BA112" s="348"/>
      <c r="BB112" s="348"/>
      <c r="BC112" s="348"/>
      <c r="BD112" s="348"/>
      <c r="BE112" s="348"/>
    </row>
    <row r="113" spans="8:57" x14ac:dyDescent="0.25">
      <c r="H113" s="531"/>
      <c r="I113" s="4"/>
      <c r="J113" s="4"/>
      <c r="L113" s="4"/>
      <c r="R113" s="348"/>
      <c r="S113" s="348"/>
      <c r="T113" s="348"/>
      <c r="U113" s="348"/>
      <c r="W113" s="348"/>
      <c r="X113" s="348"/>
      <c r="Y113" s="348"/>
      <c r="Z113" s="348"/>
      <c r="AA113" s="525"/>
      <c r="AB113" s="348"/>
      <c r="AC113" s="348"/>
      <c r="AD113" s="348"/>
      <c r="AE113" s="348"/>
      <c r="AG113" s="348"/>
      <c r="AH113" s="348"/>
      <c r="AI113" s="348"/>
      <c r="AJ113" s="348"/>
      <c r="AK113" s="348"/>
      <c r="AL113" s="348"/>
      <c r="AM113" s="348"/>
      <c r="AN113" s="348"/>
      <c r="AO113" s="348"/>
      <c r="AP113" s="348"/>
      <c r="AQ113" s="348"/>
      <c r="AR113" s="348"/>
      <c r="AS113" s="348"/>
      <c r="AT113" s="348"/>
      <c r="AV113" s="526"/>
      <c r="AW113" s="534"/>
      <c r="AX113" s="534"/>
      <c r="AY113" s="9"/>
      <c r="AZ113" s="48"/>
      <c r="BA113" s="348"/>
      <c r="BB113" s="348"/>
      <c r="BC113" s="348"/>
      <c r="BD113" s="348"/>
      <c r="BE113" s="348"/>
    </row>
    <row r="114" spans="8:57" x14ac:dyDescent="0.25">
      <c r="H114" s="531"/>
      <c r="I114" s="4"/>
      <c r="J114" s="4"/>
      <c r="L114" s="4"/>
      <c r="R114" s="348"/>
      <c r="S114" s="348"/>
      <c r="T114" s="348"/>
      <c r="U114" s="348"/>
      <c r="W114" s="348"/>
      <c r="X114" s="348"/>
      <c r="Y114" s="348"/>
      <c r="Z114" s="348"/>
      <c r="AA114" s="525"/>
      <c r="AB114" s="348"/>
      <c r="AC114" s="348"/>
      <c r="AD114" s="348"/>
      <c r="AE114" s="348"/>
      <c r="AG114" s="348"/>
      <c r="AH114" s="348"/>
      <c r="AI114" s="348"/>
      <c r="AJ114" s="348"/>
      <c r="AK114" s="348"/>
      <c r="AL114" s="348"/>
      <c r="AM114" s="348"/>
      <c r="AN114" s="348"/>
      <c r="AO114" s="348"/>
      <c r="AP114" s="348"/>
      <c r="AQ114" s="348"/>
      <c r="AR114" s="348"/>
      <c r="AS114" s="348"/>
      <c r="AT114" s="348"/>
      <c r="AV114" s="526"/>
      <c r="AW114" s="534"/>
      <c r="AX114" s="534"/>
      <c r="AY114" s="9"/>
      <c r="AZ114" s="48"/>
      <c r="BA114" s="348"/>
      <c r="BB114" s="348"/>
      <c r="BC114" s="348"/>
      <c r="BD114" s="348"/>
      <c r="BE114" s="348"/>
    </row>
    <row r="115" spans="8:57" x14ac:dyDescent="0.25">
      <c r="H115" s="531"/>
      <c r="I115" s="4"/>
      <c r="J115" s="4"/>
      <c r="L115" s="4"/>
      <c r="R115" s="348"/>
      <c r="S115" s="348"/>
      <c r="T115" s="348"/>
      <c r="U115" s="348"/>
      <c r="W115" s="348"/>
      <c r="X115" s="348"/>
      <c r="Y115" s="348"/>
      <c r="Z115" s="348"/>
      <c r="AA115" s="525"/>
      <c r="AB115" s="348"/>
      <c r="AC115" s="348"/>
      <c r="AD115" s="348"/>
      <c r="AE115" s="348"/>
      <c r="AG115" s="348"/>
      <c r="AH115" s="348"/>
      <c r="AI115" s="348"/>
      <c r="AJ115" s="348"/>
      <c r="AK115" s="348"/>
      <c r="AL115" s="348"/>
      <c r="AM115" s="348"/>
      <c r="AN115" s="348"/>
      <c r="AO115" s="348"/>
      <c r="AP115" s="348"/>
      <c r="AQ115" s="348"/>
      <c r="AR115" s="348"/>
      <c r="AS115" s="348"/>
      <c r="AT115" s="348"/>
      <c r="AV115" s="526"/>
      <c r="AW115" s="534"/>
      <c r="AX115" s="534"/>
      <c r="AY115" s="9"/>
      <c r="AZ115" s="48"/>
      <c r="BA115" s="348"/>
      <c r="BB115" s="348"/>
      <c r="BC115" s="348"/>
      <c r="BD115" s="348"/>
      <c r="BE115" s="348"/>
    </row>
    <row r="116" spans="8:57" x14ac:dyDescent="0.25">
      <c r="H116" s="531"/>
      <c r="I116" s="4"/>
      <c r="J116" s="4"/>
      <c r="L116" s="4"/>
      <c r="R116" s="348"/>
      <c r="S116" s="348"/>
      <c r="T116" s="348"/>
      <c r="U116" s="348"/>
      <c r="W116" s="348"/>
      <c r="X116" s="348"/>
      <c r="Y116" s="348"/>
      <c r="Z116" s="348"/>
      <c r="AA116" s="525"/>
      <c r="AB116" s="348"/>
      <c r="AC116" s="348"/>
      <c r="AD116" s="348"/>
      <c r="AE116" s="348"/>
      <c r="AG116" s="348"/>
      <c r="AH116" s="348"/>
      <c r="AI116" s="348"/>
      <c r="AJ116" s="348"/>
      <c r="AK116" s="348"/>
      <c r="AL116" s="348"/>
      <c r="AM116" s="348"/>
      <c r="AN116" s="348"/>
      <c r="AO116" s="348"/>
      <c r="AP116" s="348"/>
      <c r="AQ116" s="348"/>
      <c r="AR116" s="348"/>
      <c r="AS116" s="348"/>
      <c r="AT116" s="348"/>
      <c r="AV116" s="526"/>
      <c r="AW116" s="534"/>
      <c r="AX116" s="534"/>
      <c r="AY116" s="9"/>
      <c r="AZ116" s="48"/>
      <c r="BA116" s="348"/>
      <c r="BB116" s="348"/>
      <c r="BC116" s="348"/>
      <c r="BD116" s="348"/>
      <c r="BE116" s="348"/>
    </row>
    <row r="117" spans="8:57" x14ac:dyDescent="0.25">
      <c r="H117" s="531"/>
      <c r="I117" s="4"/>
      <c r="J117" s="4"/>
      <c r="L117" s="4"/>
      <c r="R117" s="348"/>
      <c r="S117" s="348"/>
      <c r="T117" s="348"/>
      <c r="U117" s="348"/>
      <c r="W117" s="348"/>
      <c r="X117" s="348"/>
      <c r="Y117" s="348"/>
      <c r="Z117" s="348"/>
      <c r="AA117" s="525"/>
      <c r="AB117" s="348"/>
      <c r="AC117" s="348"/>
      <c r="AD117" s="348"/>
      <c r="AE117" s="348"/>
      <c r="AG117" s="348"/>
      <c r="AH117" s="348"/>
      <c r="AI117" s="348"/>
      <c r="AJ117" s="348"/>
      <c r="AK117" s="348"/>
      <c r="AL117" s="348"/>
      <c r="AM117" s="348"/>
      <c r="AN117" s="348"/>
      <c r="AO117" s="348"/>
      <c r="AP117" s="348"/>
      <c r="AQ117" s="348"/>
      <c r="AR117" s="348"/>
      <c r="AS117" s="348"/>
      <c r="AT117" s="348"/>
      <c r="AV117" s="526"/>
      <c r="AW117" s="534"/>
      <c r="AX117" s="534"/>
      <c r="AY117" s="9"/>
      <c r="AZ117" s="48"/>
      <c r="BA117" s="348"/>
      <c r="BB117" s="348"/>
      <c r="BC117" s="348"/>
      <c r="BD117" s="348"/>
      <c r="BE117" s="348"/>
    </row>
    <row r="118" spans="8:57" x14ac:dyDescent="0.25">
      <c r="H118" s="531"/>
      <c r="I118" s="4"/>
      <c r="J118" s="4"/>
      <c r="L118" s="4"/>
      <c r="R118" s="348"/>
      <c r="S118" s="348"/>
      <c r="T118" s="348"/>
      <c r="U118" s="348"/>
      <c r="W118" s="348"/>
      <c r="X118" s="348"/>
      <c r="Y118" s="348"/>
      <c r="Z118" s="348"/>
      <c r="AA118" s="525"/>
      <c r="AB118" s="348"/>
      <c r="AC118" s="348"/>
      <c r="AD118" s="348"/>
      <c r="AE118" s="348"/>
      <c r="AG118" s="348"/>
      <c r="AH118" s="348"/>
      <c r="AI118" s="348"/>
      <c r="AJ118" s="348"/>
      <c r="AK118" s="348"/>
      <c r="AL118" s="348"/>
      <c r="AM118" s="348"/>
      <c r="AN118" s="348"/>
      <c r="AO118" s="348"/>
      <c r="AP118" s="348"/>
      <c r="AQ118" s="348"/>
      <c r="AR118" s="348"/>
      <c r="AS118" s="348"/>
      <c r="AT118" s="348"/>
      <c r="AV118" s="526"/>
      <c r="AW118" s="534"/>
      <c r="AX118" s="534"/>
      <c r="AY118" s="9"/>
      <c r="AZ118" s="48"/>
      <c r="BA118" s="348"/>
      <c r="BB118" s="348"/>
      <c r="BC118" s="348"/>
      <c r="BD118" s="348"/>
      <c r="BE118" s="348"/>
    </row>
    <row r="119" spans="8:57" x14ac:dyDescent="0.25">
      <c r="H119" s="531"/>
      <c r="I119" s="4"/>
      <c r="J119" s="4"/>
      <c r="L119" s="4"/>
      <c r="R119" s="348"/>
      <c r="S119" s="348"/>
      <c r="T119" s="348"/>
      <c r="U119" s="348"/>
      <c r="W119" s="348"/>
      <c r="X119" s="348"/>
      <c r="Y119" s="348"/>
      <c r="Z119" s="348"/>
      <c r="AA119" s="525"/>
      <c r="AB119" s="348"/>
      <c r="AC119" s="348"/>
      <c r="AD119" s="348"/>
      <c r="AE119" s="348"/>
      <c r="AG119" s="348"/>
      <c r="AH119" s="348"/>
      <c r="AI119" s="348"/>
      <c r="AJ119" s="348"/>
      <c r="AK119" s="348"/>
      <c r="AL119" s="348"/>
      <c r="AM119" s="348"/>
      <c r="AN119" s="348"/>
      <c r="AO119" s="348"/>
      <c r="AP119" s="348"/>
      <c r="AQ119" s="348"/>
      <c r="AR119" s="348"/>
      <c r="AS119" s="348"/>
      <c r="AT119" s="348"/>
      <c r="AV119" s="526"/>
      <c r="AW119" s="534"/>
      <c r="AX119" s="534"/>
      <c r="AY119" s="9"/>
      <c r="AZ119" s="48"/>
      <c r="BA119" s="348"/>
      <c r="BB119" s="348"/>
      <c r="BC119" s="348"/>
      <c r="BD119" s="348"/>
      <c r="BE119" s="348"/>
    </row>
    <row r="120" spans="8:57" x14ac:dyDescent="0.25">
      <c r="H120" s="531"/>
      <c r="I120" s="4"/>
      <c r="J120" s="4"/>
      <c r="L120" s="4"/>
      <c r="R120" s="348"/>
      <c r="S120" s="348"/>
      <c r="T120" s="348"/>
      <c r="U120" s="348"/>
      <c r="W120" s="348"/>
      <c r="X120" s="348"/>
      <c r="Y120" s="348"/>
      <c r="Z120" s="348"/>
      <c r="AA120" s="525"/>
      <c r="AB120" s="348"/>
      <c r="AC120" s="348"/>
      <c r="AD120" s="348"/>
      <c r="AE120" s="348"/>
      <c r="AG120" s="348"/>
      <c r="AH120" s="348"/>
      <c r="AI120" s="348"/>
      <c r="AJ120" s="348"/>
      <c r="AK120" s="348"/>
      <c r="AL120" s="348"/>
      <c r="AM120" s="348"/>
      <c r="AN120" s="348"/>
      <c r="AO120" s="348"/>
      <c r="AP120" s="348"/>
      <c r="AQ120" s="348"/>
      <c r="AR120" s="348"/>
      <c r="AS120" s="348"/>
      <c r="AT120" s="348"/>
      <c r="AV120" s="526"/>
      <c r="AW120" s="534"/>
      <c r="AX120" s="534"/>
      <c r="AY120" s="9"/>
      <c r="AZ120" s="48"/>
      <c r="BA120" s="348"/>
      <c r="BB120" s="348"/>
      <c r="BC120" s="348"/>
      <c r="BD120" s="348"/>
      <c r="BE120" s="348"/>
    </row>
    <row r="121" spans="8:57" x14ac:dyDescent="0.25">
      <c r="H121" s="531"/>
      <c r="I121" s="4"/>
      <c r="J121" s="4"/>
      <c r="L121" s="4"/>
      <c r="R121" s="348"/>
      <c r="S121" s="348"/>
      <c r="T121" s="348"/>
      <c r="U121" s="348"/>
      <c r="W121" s="348"/>
      <c r="X121" s="348"/>
      <c r="Y121" s="348"/>
      <c r="Z121" s="348"/>
      <c r="AA121" s="525"/>
      <c r="AB121" s="348"/>
      <c r="AC121" s="348"/>
      <c r="AD121" s="348"/>
      <c r="AE121" s="348"/>
      <c r="AG121" s="348"/>
      <c r="AH121" s="348"/>
      <c r="AI121" s="348"/>
      <c r="AJ121" s="348"/>
      <c r="AK121" s="348"/>
      <c r="AL121" s="348"/>
      <c r="AM121" s="348"/>
      <c r="AN121" s="348"/>
      <c r="AO121" s="348"/>
      <c r="AP121" s="348"/>
      <c r="AQ121" s="348"/>
      <c r="AR121" s="348"/>
      <c r="AS121" s="348"/>
      <c r="AT121" s="348"/>
      <c r="AV121" s="526"/>
      <c r="AW121" s="534"/>
      <c r="AX121" s="534"/>
      <c r="AY121" s="9"/>
      <c r="AZ121" s="48"/>
      <c r="BA121" s="348"/>
      <c r="BB121" s="348"/>
      <c r="BC121" s="348"/>
      <c r="BD121" s="348"/>
      <c r="BE121" s="348"/>
    </row>
    <row r="122" spans="8:57" x14ac:dyDescent="0.25">
      <c r="H122" s="531"/>
      <c r="I122" s="4"/>
      <c r="J122" s="4"/>
      <c r="L122" s="4"/>
      <c r="R122" s="348"/>
      <c r="S122" s="348"/>
      <c r="T122" s="348"/>
      <c r="U122" s="348"/>
      <c r="W122" s="348"/>
      <c r="X122" s="348"/>
      <c r="Y122" s="348"/>
      <c r="Z122" s="348"/>
      <c r="AA122" s="525"/>
      <c r="AB122" s="348"/>
      <c r="AC122" s="348"/>
      <c r="AD122" s="348"/>
      <c r="AE122" s="348"/>
      <c r="AG122" s="348"/>
      <c r="AH122" s="348"/>
      <c r="AI122" s="348"/>
      <c r="AJ122" s="348"/>
      <c r="AK122" s="348"/>
      <c r="AL122" s="348"/>
      <c r="AM122" s="348"/>
      <c r="AN122" s="348"/>
      <c r="AO122" s="348"/>
      <c r="AP122" s="348"/>
      <c r="AQ122" s="348"/>
      <c r="AR122" s="348"/>
      <c r="AS122" s="348"/>
      <c r="AT122" s="348"/>
      <c r="AV122" s="526"/>
      <c r="AW122" s="534"/>
      <c r="AX122" s="534"/>
      <c r="AY122" s="9"/>
      <c r="AZ122" s="48"/>
      <c r="BA122" s="348"/>
      <c r="BB122" s="348"/>
      <c r="BC122" s="348"/>
      <c r="BD122" s="348"/>
      <c r="BE122" s="348"/>
    </row>
    <row r="123" spans="8:57" x14ac:dyDescent="0.25">
      <c r="H123" s="531"/>
      <c r="I123" s="4"/>
      <c r="J123" s="4"/>
      <c r="L123" s="4"/>
      <c r="R123" s="348"/>
      <c r="S123" s="348"/>
      <c r="T123" s="348"/>
      <c r="U123" s="348"/>
      <c r="W123" s="348"/>
      <c r="X123" s="348"/>
      <c r="Y123" s="348"/>
      <c r="Z123" s="348"/>
      <c r="AA123" s="525"/>
      <c r="AB123" s="348"/>
      <c r="AC123" s="348"/>
      <c r="AD123" s="348"/>
      <c r="AE123" s="348"/>
      <c r="AG123" s="348"/>
      <c r="AH123" s="348"/>
      <c r="AI123" s="348"/>
      <c r="AJ123" s="348"/>
      <c r="AK123" s="348"/>
      <c r="AL123" s="348"/>
      <c r="AM123" s="348"/>
      <c r="AN123" s="348"/>
      <c r="AO123" s="348"/>
      <c r="AP123" s="348"/>
      <c r="AQ123" s="348"/>
      <c r="AR123" s="348"/>
      <c r="AS123" s="348"/>
      <c r="AT123" s="348"/>
      <c r="AV123" s="526"/>
      <c r="AW123" s="534"/>
      <c r="AX123" s="534"/>
      <c r="AY123" s="9"/>
      <c r="AZ123" s="48"/>
      <c r="BA123" s="348"/>
      <c r="BB123" s="348"/>
      <c r="BC123" s="348"/>
      <c r="BD123" s="348"/>
      <c r="BE123" s="348"/>
    </row>
    <row r="124" spans="8:57" x14ac:dyDescent="0.25">
      <c r="H124" s="531"/>
      <c r="I124" s="4"/>
      <c r="J124" s="4"/>
      <c r="L124" s="4"/>
      <c r="R124" s="348"/>
      <c r="S124" s="348"/>
      <c r="T124" s="348"/>
      <c r="U124" s="348"/>
      <c r="W124" s="348"/>
      <c r="X124" s="348"/>
      <c r="Y124" s="348"/>
      <c r="Z124" s="348"/>
      <c r="AA124" s="525"/>
      <c r="AB124" s="348"/>
      <c r="AC124" s="348"/>
      <c r="AD124" s="348"/>
      <c r="AE124" s="348"/>
      <c r="AG124" s="348"/>
      <c r="AH124" s="348"/>
      <c r="AI124" s="348"/>
      <c r="AJ124" s="348"/>
      <c r="AK124" s="348"/>
      <c r="AL124" s="348"/>
      <c r="AM124" s="348"/>
      <c r="AN124" s="348"/>
      <c r="AO124" s="348"/>
      <c r="AP124" s="348"/>
      <c r="AQ124" s="348"/>
      <c r="AR124" s="348"/>
      <c r="AS124" s="348"/>
      <c r="AT124" s="348"/>
      <c r="AV124" s="526"/>
      <c r="AW124" s="534"/>
      <c r="AX124" s="534"/>
      <c r="AY124" s="9"/>
      <c r="AZ124" s="48"/>
      <c r="BA124" s="348"/>
      <c r="BB124" s="348"/>
      <c r="BC124" s="348"/>
      <c r="BD124" s="348"/>
      <c r="BE124" s="348"/>
    </row>
    <row r="125" spans="8:57" x14ac:dyDescent="0.25">
      <c r="H125" s="531"/>
      <c r="I125" s="4"/>
      <c r="J125" s="4"/>
      <c r="L125" s="4"/>
      <c r="R125" s="348"/>
      <c r="S125" s="348"/>
      <c r="T125" s="348"/>
      <c r="U125" s="348"/>
      <c r="W125" s="348"/>
      <c r="X125" s="348"/>
      <c r="Y125" s="348"/>
      <c r="Z125" s="348"/>
      <c r="AA125" s="525"/>
      <c r="AB125" s="348"/>
      <c r="AC125" s="348"/>
      <c r="AD125" s="348"/>
      <c r="AE125" s="348"/>
      <c r="AG125" s="348"/>
      <c r="AH125" s="348"/>
      <c r="AI125" s="348"/>
      <c r="AJ125" s="348"/>
      <c r="AK125" s="348"/>
      <c r="AL125" s="348"/>
      <c r="AM125" s="348"/>
      <c r="AN125" s="348"/>
      <c r="AO125" s="348"/>
      <c r="AP125" s="348"/>
      <c r="AQ125" s="348"/>
      <c r="AR125" s="348"/>
      <c r="AS125" s="348"/>
      <c r="AT125" s="348"/>
      <c r="AV125" s="526"/>
      <c r="AW125" s="534"/>
      <c r="AX125" s="534"/>
      <c r="AY125" s="9"/>
      <c r="AZ125" s="48"/>
      <c r="BA125" s="348"/>
      <c r="BB125" s="348"/>
      <c r="BC125" s="348"/>
      <c r="BD125" s="348"/>
      <c r="BE125" s="348"/>
    </row>
    <row r="126" spans="8:57" x14ac:dyDescent="0.25">
      <c r="H126" s="531"/>
      <c r="I126" s="4"/>
      <c r="J126" s="4"/>
      <c r="L126" s="4"/>
      <c r="R126" s="348"/>
      <c r="S126" s="348"/>
      <c r="T126" s="348"/>
      <c r="U126" s="348"/>
      <c r="W126" s="348"/>
      <c r="X126" s="348"/>
      <c r="Y126" s="348"/>
      <c r="Z126" s="348"/>
      <c r="AA126" s="525"/>
      <c r="AB126" s="348"/>
      <c r="AC126" s="348"/>
      <c r="AD126" s="348"/>
      <c r="AE126" s="348"/>
      <c r="AG126" s="348"/>
      <c r="AH126" s="348"/>
      <c r="AI126" s="348"/>
      <c r="AJ126" s="348"/>
      <c r="AK126" s="348"/>
      <c r="AL126" s="348"/>
      <c r="AM126" s="348"/>
      <c r="AN126" s="348"/>
      <c r="AO126" s="348"/>
      <c r="AP126" s="348"/>
      <c r="AQ126" s="348"/>
      <c r="AR126" s="348"/>
      <c r="AS126" s="348"/>
      <c r="AT126" s="348"/>
      <c r="AV126" s="526"/>
      <c r="AW126" s="534"/>
      <c r="AX126" s="534"/>
      <c r="AY126" s="9"/>
      <c r="AZ126" s="48"/>
      <c r="BA126" s="348"/>
      <c r="BB126" s="348"/>
      <c r="BC126" s="348"/>
      <c r="BD126" s="348"/>
      <c r="BE126" s="348"/>
    </row>
    <row r="127" spans="8:57" x14ac:dyDescent="0.25">
      <c r="H127" s="531"/>
      <c r="I127" s="4"/>
      <c r="J127" s="4"/>
      <c r="L127" s="4"/>
      <c r="R127" s="348"/>
      <c r="S127" s="348"/>
      <c r="T127" s="348"/>
      <c r="U127" s="348"/>
      <c r="W127" s="348"/>
      <c r="X127" s="348"/>
      <c r="Y127" s="348"/>
      <c r="Z127" s="348"/>
      <c r="AA127" s="525"/>
      <c r="AB127" s="348"/>
      <c r="AC127" s="348"/>
      <c r="AD127" s="348"/>
      <c r="AE127" s="348"/>
      <c r="AG127" s="348"/>
      <c r="AH127" s="348"/>
      <c r="AI127" s="348"/>
      <c r="AJ127" s="348"/>
      <c r="AK127" s="348"/>
      <c r="AL127" s="348"/>
      <c r="AM127" s="348"/>
      <c r="AN127" s="348"/>
      <c r="AO127" s="348"/>
      <c r="AP127" s="348"/>
      <c r="AQ127" s="348"/>
      <c r="AR127" s="348"/>
      <c r="AS127" s="348"/>
      <c r="AT127" s="348"/>
      <c r="AV127" s="526"/>
      <c r="AW127" s="534"/>
      <c r="AX127" s="534"/>
      <c r="AY127" s="9"/>
      <c r="AZ127" s="48"/>
      <c r="BA127" s="348"/>
      <c r="BB127" s="348"/>
      <c r="BC127" s="348"/>
      <c r="BD127" s="348"/>
      <c r="BE127" s="348"/>
    </row>
    <row r="128" spans="8:57" x14ac:dyDescent="0.25">
      <c r="H128" s="531"/>
      <c r="I128" s="4"/>
      <c r="J128" s="4"/>
      <c r="L128" s="4"/>
      <c r="R128" s="348"/>
      <c r="S128" s="348"/>
      <c r="T128" s="348"/>
      <c r="U128" s="348"/>
      <c r="W128" s="348"/>
      <c r="X128" s="348"/>
      <c r="Y128" s="348"/>
      <c r="Z128" s="348"/>
      <c r="AA128" s="525"/>
      <c r="AB128" s="348"/>
      <c r="AC128" s="348"/>
      <c r="AD128" s="348"/>
      <c r="AE128" s="348"/>
      <c r="AG128" s="348"/>
      <c r="AH128" s="348"/>
      <c r="AI128" s="348"/>
      <c r="AJ128" s="348"/>
      <c r="AK128" s="348"/>
      <c r="AL128" s="348"/>
      <c r="AM128" s="348"/>
      <c r="AN128" s="348"/>
      <c r="AO128" s="348"/>
      <c r="AP128" s="348"/>
      <c r="AQ128" s="348"/>
      <c r="AR128" s="348"/>
      <c r="AS128" s="348"/>
      <c r="AT128" s="348"/>
      <c r="AV128" s="526"/>
      <c r="AW128" s="534"/>
      <c r="AX128" s="534"/>
      <c r="AY128" s="9"/>
      <c r="AZ128" s="48"/>
      <c r="BA128" s="348"/>
      <c r="BB128" s="348"/>
      <c r="BC128" s="348"/>
      <c r="BD128" s="348"/>
      <c r="BE128" s="348"/>
    </row>
    <row r="129" spans="8:57" x14ac:dyDescent="0.25">
      <c r="H129" s="531"/>
      <c r="I129" s="4"/>
      <c r="J129" s="4"/>
      <c r="L129" s="4"/>
      <c r="R129" s="348"/>
      <c r="S129" s="348"/>
      <c r="T129" s="348"/>
      <c r="U129" s="348"/>
      <c r="W129" s="348"/>
      <c r="X129" s="348"/>
      <c r="Y129" s="348"/>
      <c r="Z129" s="348"/>
      <c r="AA129" s="525"/>
      <c r="AB129" s="348"/>
      <c r="AC129" s="348"/>
      <c r="AD129" s="348"/>
      <c r="AE129" s="348"/>
      <c r="AG129" s="348"/>
      <c r="AH129" s="348"/>
      <c r="AI129" s="348"/>
      <c r="AJ129" s="348"/>
      <c r="AK129" s="348"/>
      <c r="AL129" s="348"/>
      <c r="AM129" s="348"/>
      <c r="AN129" s="348"/>
      <c r="AO129" s="348"/>
      <c r="AP129" s="348"/>
      <c r="AQ129" s="348"/>
      <c r="AR129" s="348"/>
      <c r="AS129" s="348"/>
      <c r="AT129" s="348"/>
      <c r="AV129" s="526"/>
      <c r="AW129" s="534"/>
      <c r="AX129" s="534"/>
      <c r="AY129" s="9"/>
      <c r="AZ129" s="48"/>
      <c r="BA129" s="348"/>
      <c r="BB129" s="348"/>
      <c r="BC129" s="348"/>
      <c r="BD129" s="348"/>
      <c r="BE129" s="348"/>
    </row>
    <row r="130" spans="8:57" x14ac:dyDescent="0.25">
      <c r="H130" s="531"/>
      <c r="I130" s="4"/>
      <c r="J130" s="4"/>
      <c r="L130" s="4"/>
      <c r="R130" s="348"/>
      <c r="S130" s="348"/>
      <c r="T130" s="348"/>
      <c r="U130" s="348"/>
      <c r="W130" s="348"/>
      <c r="X130" s="348"/>
      <c r="Y130" s="348"/>
      <c r="Z130" s="348"/>
      <c r="AA130" s="525"/>
      <c r="AB130" s="348"/>
      <c r="AC130" s="348"/>
      <c r="AD130" s="348"/>
      <c r="AE130" s="348"/>
      <c r="AG130" s="348"/>
      <c r="AH130" s="348"/>
      <c r="AI130" s="348"/>
      <c r="AJ130" s="348"/>
      <c r="AK130" s="348"/>
      <c r="AL130" s="348"/>
      <c r="AM130" s="348"/>
      <c r="AN130" s="348"/>
      <c r="AO130" s="348"/>
      <c r="AP130" s="348"/>
      <c r="AQ130" s="348"/>
      <c r="AR130" s="348"/>
      <c r="AS130" s="348"/>
      <c r="AT130" s="348"/>
      <c r="AV130" s="526"/>
      <c r="AW130" s="534"/>
      <c r="AX130" s="534"/>
      <c r="AY130" s="9"/>
      <c r="AZ130" s="48"/>
      <c r="BA130" s="348"/>
      <c r="BB130" s="348"/>
      <c r="BC130" s="348"/>
      <c r="BD130" s="348"/>
      <c r="BE130" s="348"/>
    </row>
    <row r="131" spans="8:57" x14ac:dyDescent="0.25">
      <c r="H131" s="531"/>
      <c r="I131" s="4"/>
      <c r="J131" s="4"/>
      <c r="L131" s="4"/>
      <c r="R131" s="348"/>
      <c r="S131" s="348"/>
      <c r="T131" s="348"/>
      <c r="U131" s="348"/>
      <c r="W131" s="348"/>
      <c r="X131" s="348"/>
      <c r="Y131" s="348"/>
      <c r="Z131" s="348"/>
      <c r="AA131" s="525"/>
      <c r="AB131" s="348"/>
      <c r="AC131" s="348"/>
      <c r="AD131" s="348"/>
      <c r="AE131" s="348"/>
      <c r="AG131" s="348"/>
      <c r="AH131" s="348"/>
      <c r="AI131" s="348"/>
      <c r="AJ131" s="348"/>
      <c r="AK131" s="348"/>
      <c r="AL131" s="348"/>
      <c r="AM131" s="348"/>
      <c r="AN131" s="348"/>
      <c r="AO131" s="348"/>
      <c r="AP131" s="348"/>
      <c r="AQ131" s="348"/>
      <c r="AR131" s="348"/>
      <c r="AS131" s="348"/>
      <c r="AT131" s="348"/>
      <c r="AV131" s="526"/>
      <c r="AW131" s="534"/>
      <c r="AX131" s="534"/>
      <c r="AY131" s="9"/>
      <c r="AZ131" s="48"/>
      <c r="BA131" s="348"/>
      <c r="BB131" s="348"/>
      <c r="BC131" s="348"/>
      <c r="BD131" s="348"/>
      <c r="BE131" s="348"/>
    </row>
    <row r="132" spans="8:57" x14ac:dyDescent="0.25">
      <c r="H132" s="531"/>
      <c r="I132" s="4"/>
      <c r="J132" s="4"/>
      <c r="L132" s="4"/>
      <c r="R132" s="348"/>
      <c r="S132" s="348"/>
      <c r="T132" s="348"/>
      <c r="U132" s="348"/>
      <c r="W132" s="348"/>
      <c r="X132" s="348"/>
      <c r="Y132" s="348"/>
      <c r="Z132" s="348"/>
      <c r="AA132" s="525"/>
      <c r="AB132" s="348"/>
      <c r="AC132" s="348"/>
      <c r="AD132" s="348"/>
      <c r="AE132" s="348"/>
      <c r="AG132" s="348"/>
      <c r="AH132" s="348"/>
      <c r="AI132" s="348"/>
      <c r="AJ132" s="348"/>
      <c r="AK132" s="348"/>
      <c r="AL132" s="348"/>
      <c r="AM132" s="348"/>
      <c r="AN132" s="348"/>
      <c r="AO132" s="348"/>
      <c r="AP132" s="348"/>
      <c r="AQ132" s="348"/>
      <c r="AR132" s="348"/>
      <c r="AS132" s="348"/>
      <c r="AT132" s="348"/>
      <c r="AV132" s="526"/>
      <c r="AW132" s="534"/>
      <c r="AX132" s="534"/>
      <c r="AY132" s="9"/>
      <c r="AZ132" s="48"/>
      <c r="BA132" s="348"/>
      <c r="BB132" s="348"/>
      <c r="BC132" s="348"/>
      <c r="BD132" s="348"/>
      <c r="BE132" s="348"/>
    </row>
    <row r="133" spans="8:57" x14ac:dyDescent="0.25">
      <c r="H133" s="531"/>
      <c r="I133" s="4"/>
      <c r="J133" s="4"/>
      <c r="L133" s="4"/>
      <c r="R133" s="348"/>
      <c r="S133" s="348"/>
      <c r="T133" s="348"/>
      <c r="U133" s="348"/>
      <c r="W133" s="348"/>
      <c r="X133" s="348"/>
      <c r="Y133" s="348"/>
      <c r="Z133" s="348"/>
      <c r="AA133" s="525"/>
      <c r="AB133" s="348"/>
      <c r="AC133" s="348"/>
      <c r="AD133" s="348"/>
      <c r="AE133" s="348"/>
      <c r="AG133" s="348"/>
      <c r="AH133" s="348"/>
      <c r="AI133" s="348"/>
      <c r="AJ133" s="348"/>
      <c r="AK133" s="348"/>
      <c r="AL133" s="348"/>
      <c r="AM133" s="348"/>
      <c r="AN133" s="348"/>
      <c r="AO133" s="348"/>
      <c r="AP133" s="348"/>
      <c r="AQ133" s="348"/>
      <c r="AR133" s="348"/>
      <c r="AS133" s="348"/>
      <c r="AT133" s="348"/>
      <c r="AV133" s="526"/>
      <c r="AW133" s="534"/>
      <c r="AX133" s="534"/>
      <c r="AY133" s="9"/>
      <c r="AZ133" s="48"/>
      <c r="BA133" s="348"/>
      <c r="BB133" s="348"/>
      <c r="BC133" s="348"/>
      <c r="BD133" s="348"/>
      <c r="BE133" s="348"/>
    </row>
    <row r="134" spans="8:57" x14ac:dyDescent="0.25">
      <c r="H134" s="531"/>
      <c r="I134" s="4"/>
      <c r="J134" s="4"/>
      <c r="L134" s="4"/>
      <c r="R134" s="348"/>
      <c r="S134" s="348"/>
      <c r="T134" s="348"/>
      <c r="U134" s="348"/>
      <c r="W134" s="348"/>
      <c r="X134" s="348"/>
      <c r="Y134" s="348"/>
      <c r="Z134" s="348"/>
      <c r="AA134" s="525"/>
      <c r="AB134" s="348"/>
      <c r="AC134" s="348"/>
      <c r="AD134" s="348"/>
      <c r="AE134" s="348"/>
      <c r="AG134" s="348"/>
      <c r="AH134" s="348"/>
      <c r="AI134" s="348"/>
      <c r="AJ134" s="348"/>
      <c r="AK134" s="348"/>
      <c r="AL134" s="348"/>
      <c r="AM134" s="348"/>
      <c r="AN134" s="348"/>
      <c r="AO134" s="348"/>
      <c r="AP134" s="348"/>
      <c r="AQ134" s="348"/>
      <c r="AR134" s="348"/>
      <c r="AS134" s="348"/>
      <c r="AT134" s="348"/>
      <c r="AV134" s="526"/>
      <c r="AW134" s="534"/>
      <c r="AX134" s="534"/>
      <c r="AY134" s="9"/>
      <c r="AZ134" s="48"/>
      <c r="BA134" s="348"/>
      <c r="BB134" s="348"/>
      <c r="BC134" s="348"/>
      <c r="BD134" s="348"/>
      <c r="BE134" s="348"/>
    </row>
    <row r="135" spans="8:57" x14ac:dyDescent="0.25">
      <c r="H135" s="531"/>
      <c r="I135" s="4"/>
      <c r="J135" s="4"/>
      <c r="L135" s="4"/>
      <c r="R135" s="348"/>
      <c r="S135" s="348"/>
      <c r="T135" s="348"/>
      <c r="U135" s="348"/>
      <c r="W135" s="348"/>
      <c r="X135" s="348"/>
      <c r="Y135" s="348"/>
      <c r="Z135" s="348"/>
      <c r="AA135" s="525"/>
      <c r="AB135" s="348"/>
      <c r="AC135" s="348"/>
      <c r="AD135" s="348"/>
      <c r="AE135" s="348"/>
      <c r="AG135" s="348"/>
      <c r="AH135" s="348"/>
      <c r="AI135" s="348"/>
      <c r="AJ135" s="348"/>
      <c r="AK135" s="348"/>
      <c r="AL135" s="348"/>
      <c r="AM135" s="348"/>
      <c r="AN135" s="348"/>
      <c r="AO135" s="348"/>
      <c r="AP135" s="348"/>
      <c r="AQ135" s="348"/>
      <c r="AR135" s="348"/>
      <c r="AS135" s="348"/>
      <c r="AT135" s="348"/>
      <c r="AV135" s="526"/>
      <c r="AW135" s="534"/>
      <c r="AX135" s="534"/>
      <c r="AY135" s="9"/>
      <c r="AZ135" s="48"/>
      <c r="BA135" s="348"/>
      <c r="BB135" s="348"/>
      <c r="BC135" s="348"/>
      <c r="BD135" s="348"/>
      <c r="BE135" s="348"/>
    </row>
    <row r="136" spans="8:57" x14ac:dyDescent="0.25">
      <c r="H136" s="531"/>
      <c r="I136" s="4"/>
      <c r="J136" s="4"/>
      <c r="L136" s="4"/>
      <c r="R136" s="348"/>
      <c r="S136" s="348"/>
      <c r="T136" s="348"/>
      <c r="U136" s="348"/>
      <c r="W136" s="348"/>
      <c r="X136" s="348"/>
      <c r="Y136" s="348"/>
      <c r="Z136" s="348"/>
      <c r="AA136" s="525"/>
      <c r="AB136" s="348"/>
      <c r="AC136" s="348"/>
      <c r="AD136" s="348"/>
      <c r="AE136" s="348"/>
      <c r="AG136" s="348"/>
      <c r="AH136" s="348"/>
      <c r="AI136" s="348"/>
      <c r="AJ136" s="348"/>
      <c r="AK136" s="348"/>
      <c r="AL136" s="348"/>
      <c r="AM136" s="348"/>
      <c r="AN136" s="348"/>
      <c r="AO136" s="348"/>
      <c r="AP136" s="348"/>
      <c r="AQ136" s="348"/>
      <c r="AR136" s="348"/>
      <c r="AS136" s="348"/>
      <c r="AT136" s="348"/>
      <c r="AV136" s="526"/>
      <c r="AW136" s="534"/>
      <c r="AX136" s="534"/>
      <c r="AY136" s="9"/>
      <c r="AZ136" s="48"/>
      <c r="BA136" s="348"/>
      <c r="BB136" s="348"/>
      <c r="BC136" s="348"/>
      <c r="BD136" s="348"/>
      <c r="BE136" s="348"/>
    </row>
    <row r="137" spans="8:57" x14ac:dyDescent="0.25">
      <c r="H137" s="531"/>
      <c r="I137" s="4"/>
      <c r="J137" s="4"/>
      <c r="L137" s="4"/>
      <c r="R137" s="348"/>
      <c r="S137" s="348"/>
      <c r="T137" s="348"/>
      <c r="U137" s="348"/>
      <c r="W137" s="348"/>
      <c r="X137" s="348"/>
      <c r="Y137" s="348"/>
      <c r="Z137" s="348"/>
      <c r="AA137" s="525"/>
      <c r="AB137" s="348"/>
      <c r="AC137" s="348"/>
      <c r="AD137" s="348"/>
      <c r="AE137" s="348"/>
      <c r="AG137" s="348"/>
      <c r="AH137" s="348"/>
      <c r="AI137" s="348"/>
      <c r="AJ137" s="348"/>
      <c r="AK137" s="348"/>
      <c r="AL137" s="348"/>
      <c r="AM137" s="348"/>
      <c r="AN137" s="348"/>
      <c r="AO137" s="348"/>
      <c r="AP137" s="348"/>
      <c r="AQ137" s="348"/>
      <c r="AR137" s="348"/>
      <c r="AS137" s="348"/>
      <c r="AT137" s="348"/>
      <c r="AV137" s="526"/>
      <c r="AW137" s="534"/>
      <c r="AX137" s="534"/>
      <c r="AY137" s="9"/>
      <c r="AZ137" s="48"/>
      <c r="BA137" s="348"/>
      <c r="BB137" s="348"/>
      <c r="BC137" s="348"/>
      <c r="BD137" s="348"/>
      <c r="BE137" s="348"/>
    </row>
    <row r="138" spans="8:57" x14ac:dyDescent="0.25">
      <c r="H138" s="531"/>
      <c r="I138" s="4"/>
      <c r="J138" s="4"/>
      <c r="L138" s="4"/>
      <c r="R138" s="348"/>
      <c r="S138" s="348"/>
      <c r="T138" s="348"/>
      <c r="U138" s="348"/>
      <c r="W138" s="348"/>
      <c r="X138" s="348"/>
      <c r="Y138" s="348"/>
      <c r="Z138" s="348"/>
      <c r="AA138" s="525"/>
      <c r="AB138" s="348"/>
      <c r="AC138" s="348"/>
      <c r="AD138" s="348"/>
      <c r="AE138" s="348"/>
      <c r="AG138" s="348"/>
      <c r="AH138" s="348"/>
      <c r="AI138" s="348"/>
      <c r="AJ138" s="348"/>
      <c r="AK138" s="348"/>
      <c r="AL138" s="348"/>
      <c r="AM138" s="348"/>
      <c r="AN138" s="348"/>
      <c r="AO138" s="348"/>
      <c r="AP138" s="348"/>
      <c r="AQ138" s="348"/>
      <c r="AR138" s="348"/>
      <c r="AS138" s="348"/>
      <c r="AT138" s="348"/>
      <c r="AV138" s="526"/>
      <c r="AW138" s="534"/>
      <c r="AX138" s="534"/>
      <c r="AY138" s="9"/>
      <c r="AZ138" s="48"/>
      <c r="BA138" s="348"/>
      <c r="BB138" s="348"/>
      <c r="BC138" s="348"/>
      <c r="BD138" s="348"/>
      <c r="BE138" s="348"/>
    </row>
    <row r="139" spans="8:57" x14ac:dyDescent="0.25">
      <c r="H139" s="531"/>
      <c r="I139" s="4"/>
      <c r="J139" s="4"/>
      <c r="L139" s="4"/>
      <c r="R139" s="348"/>
      <c r="S139" s="348"/>
      <c r="T139" s="348"/>
      <c r="U139" s="348"/>
      <c r="W139" s="348"/>
      <c r="X139" s="348"/>
      <c r="Y139" s="348"/>
      <c r="Z139" s="348"/>
      <c r="AA139" s="525"/>
      <c r="AB139" s="348"/>
      <c r="AC139" s="348"/>
      <c r="AD139" s="348"/>
      <c r="AE139" s="348"/>
      <c r="AG139" s="348"/>
      <c r="AH139" s="348"/>
      <c r="AI139" s="348"/>
      <c r="AJ139" s="348"/>
      <c r="AK139" s="348"/>
      <c r="AL139" s="348"/>
      <c r="AM139" s="348"/>
      <c r="AN139" s="348"/>
      <c r="AO139" s="348"/>
      <c r="AP139" s="348"/>
      <c r="AQ139" s="348"/>
      <c r="AR139" s="348"/>
      <c r="AS139" s="348"/>
      <c r="AT139" s="348"/>
      <c r="AV139" s="526"/>
      <c r="AW139" s="534"/>
      <c r="AX139" s="534"/>
      <c r="AY139" s="9"/>
      <c r="AZ139" s="48"/>
      <c r="BA139" s="348"/>
      <c r="BB139" s="348"/>
      <c r="BC139" s="348"/>
      <c r="BD139" s="348"/>
      <c r="BE139" s="348"/>
    </row>
    <row r="140" spans="8:57" x14ac:dyDescent="0.25">
      <c r="H140" s="531"/>
      <c r="I140" s="4"/>
      <c r="J140" s="4"/>
      <c r="L140" s="4"/>
      <c r="R140" s="348"/>
      <c r="S140" s="348"/>
      <c r="T140" s="348"/>
      <c r="U140" s="348"/>
      <c r="W140" s="348"/>
      <c r="X140" s="348"/>
      <c r="Y140" s="348"/>
      <c r="Z140" s="348"/>
      <c r="AA140" s="525"/>
      <c r="AB140" s="348"/>
      <c r="AC140" s="348"/>
      <c r="AD140" s="348"/>
      <c r="AE140" s="348"/>
      <c r="AG140" s="348"/>
      <c r="AH140" s="348"/>
      <c r="AI140" s="348"/>
      <c r="AJ140" s="348"/>
      <c r="AK140" s="348"/>
      <c r="AL140" s="348"/>
      <c r="AM140" s="348"/>
      <c r="AN140" s="348"/>
      <c r="AO140" s="348"/>
      <c r="AP140" s="348"/>
      <c r="AQ140" s="348"/>
      <c r="AR140" s="348"/>
      <c r="AS140" s="348"/>
      <c r="AT140" s="348"/>
      <c r="AV140" s="526"/>
      <c r="AW140" s="534"/>
      <c r="AX140" s="534"/>
      <c r="AY140" s="9"/>
      <c r="AZ140" s="48"/>
      <c r="BA140" s="348"/>
      <c r="BB140" s="348"/>
      <c r="BC140" s="348"/>
      <c r="BD140" s="348"/>
      <c r="BE140" s="348"/>
    </row>
    <row r="141" spans="8:57" x14ac:dyDescent="0.25">
      <c r="H141" s="531"/>
      <c r="I141" s="4"/>
      <c r="J141" s="4"/>
      <c r="L141" s="4"/>
      <c r="R141" s="348"/>
      <c r="S141" s="348"/>
      <c r="T141" s="348"/>
      <c r="U141" s="348"/>
      <c r="W141" s="348"/>
      <c r="X141" s="348"/>
      <c r="Y141" s="348"/>
      <c r="Z141" s="348"/>
      <c r="AA141" s="525"/>
      <c r="AB141" s="348"/>
      <c r="AC141" s="348"/>
      <c r="AD141" s="348"/>
      <c r="AE141" s="348"/>
      <c r="AG141" s="348"/>
      <c r="AH141" s="348"/>
      <c r="AI141" s="348"/>
      <c r="AJ141" s="348"/>
      <c r="AK141" s="348"/>
      <c r="AL141" s="348"/>
      <c r="AM141" s="348"/>
      <c r="AN141" s="348"/>
      <c r="AO141" s="348"/>
      <c r="AP141" s="348"/>
      <c r="AQ141" s="348"/>
      <c r="AR141" s="348"/>
      <c r="AS141" s="348"/>
      <c r="AT141" s="348"/>
      <c r="AV141" s="526"/>
      <c r="AW141" s="534"/>
      <c r="AX141" s="534"/>
      <c r="AY141" s="9"/>
      <c r="AZ141" s="48"/>
      <c r="BA141" s="348"/>
      <c r="BB141" s="348"/>
      <c r="BC141" s="348"/>
      <c r="BD141" s="348"/>
      <c r="BE141" s="348"/>
    </row>
    <row r="142" spans="8:57" x14ac:dyDescent="0.25">
      <c r="H142" s="531"/>
      <c r="I142" s="4"/>
      <c r="J142" s="4"/>
      <c r="L142" s="4"/>
      <c r="R142" s="348"/>
      <c r="S142" s="348"/>
      <c r="T142" s="348"/>
      <c r="U142" s="348"/>
      <c r="W142" s="348"/>
      <c r="X142" s="348"/>
      <c r="Y142" s="348"/>
      <c r="Z142" s="348"/>
      <c r="AA142" s="525"/>
      <c r="AB142" s="348"/>
      <c r="AC142" s="348"/>
      <c r="AD142" s="348"/>
      <c r="AE142" s="348"/>
      <c r="AG142" s="348"/>
      <c r="AH142" s="348"/>
      <c r="AI142" s="348"/>
      <c r="AJ142" s="348"/>
      <c r="AK142" s="348"/>
      <c r="AL142" s="348"/>
      <c r="AM142" s="348"/>
      <c r="AN142" s="348"/>
      <c r="AO142" s="348"/>
      <c r="AP142" s="348"/>
      <c r="AQ142" s="348"/>
      <c r="AR142" s="348"/>
      <c r="AS142" s="348"/>
      <c r="AT142" s="348"/>
      <c r="AV142" s="526"/>
      <c r="AW142" s="534"/>
      <c r="AX142" s="534"/>
      <c r="AY142" s="9"/>
      <c r="AZ142" s="48"/>
      <c r="BA142" s="348"/>
      <c r="BB142" s="348"/>
      <c r="BC142" s="348"/>
      <c r="BD142" s="348"/>
      <c r="BE142" s="348"/>
    </row>
    <row r="143" spans="8:57" x14ac:dyDescent="0.25">
      <c r="H143" s="531"/>
      <c r="I143" s="4"/>
      <c r="J143" s="4"/>
      <c r="L143" s="4"/>
      <c r="R143" s="348"/>
      <c r="S143" s="348"/>
      <c r="T143" s="348"/>
      <c r="U143" s="348"/>
      <c r="W143" s="348"/>
      <c r="X143" s="348"/>
      <c r="Y143" s="348"/>
      <c r="Z143" s="348"/>
      <c r="AA143" s="525"/>
      <c r="AB143" s="348"/>
      <c r="AC143" s="348"/>
      <c r="AD143" s="348"/>
      <c r="AE143" s="348"/>
      <c r="AG143" s="348"/>
      <c r="AH143" s="348"/>
      <c r="AI143" s="348"/>
      <c r="AJ143" s="348"/>
      <c r="AK143" s="348"/>
      <c r="AL143" s="348"/>
      <c r="AM143" s="348"/>
      <c r="AN143" s="348"/>
      <c r="AO143" s="348"/>
      <c r="AP143" s="348"/>
      <c r="AQ143" s="348"/>
      <c r="AR143" s="348"/>
      <c r="AS143" s="348"/>
      <c r="AT143" s="348"/>
      <c r="AV143" s="526"/>
      <c r="AW143" s="534"/>
      <c r="AX143" s="534"/>
      <c r="AY143" s="9"/>
      <c r="AZ143" s="48"/>
      <c r="BA143" s="348"/>
      <c r="BB143" s="348"/>
      <c r="BC143" s="348"/>
      <c r="BD143" s="348"/>
      <c r="BE143" s="348"/>
    </row>
    <row r="144" spans="8:57" x14ac:dyDescent="0.25">
      <c r="H144" s="531"/>
      <c r="I144" s="4"/>
      <c r="J144" s="4"/>
      <c r="L144" s="4"/>
      <c r="R144" s="348"/>
      <c r="S144" s="348"/>
      <c r="T144" s="348"/>
      <c r="U144" s="348"/>
      <c r="W144" s="348"/>
      <c r="X144" s="348"/>
      <c r="Y144" s="348"/>
      <c r="Z144" s="348"/>
      <c r="AA144" s="525"/>
      <c r="AB144" s="348"/>
      <c r="AC144" s="348"/>
      <c r="AD144" s="348"/>
      <c r="AE144" s="348"/>
      <c r="AG144" s="348"/>
      <c r="AH144" s="348"/>
      <c r="AI144" s="348"/>
      <c r="AJ144" s="348"/>
      <c r="AK144" s="348"/>
      <c r="AL144" s="348"/>
      <c r="AM144" s="348"/>
      <c r="AN144" s="348"/>
      <c r="AO144" s="348"/>
      <c r="AP144" s="348"/>
      <c r="AQ144" s="348"/>
      <c r="AR144" s="348"/>
      <c r="AS144" s="348"/>
      <c r="AT144" s="348"/>
      <c r="AV144" s="526"/>
      <c r="AW144" s="534"/>
      <c r="AX144" s="534"/>
      <c r="AY144" s="9"/>
      <c r="AZ144" s="48"/>
      <c r="BA144" s="348"/>
      <c r="BB144" s="348"/>
      <c r="BC144" s="348"/>
      <c r="BD144" s="348"/>
      <c r="BE144" s="348"/>
    </row>
    <row r="145" spans="8:57" x14ac:dyDescent="0.25">
      <c r="H145" s="531"/>
      <c r="I145" s="4"/>
      <c r="J145" s="4"/>
      <c r="L145" s="4"/>
      <c r="R145" s="348"/>
      <c r="S145" s="348"/>
      <c r="T145" s="348"/>
      <c r="U145" s="348"/>
      <c r="W145" s="348"/>
      <c r="X145" s="348"/>
      <c r="Y145" s="348"/>
      <c r="Z145" s="348"/>
      <c r="AA145" s="525"/>
      <c r="AB145" s="348"/>
      <c r="AC145" s="348"/>
      <c r="AD145" s="348"/>
      <c r="AE145" s="348"/>
      <c r="AG145" s="348"/>
      <c r="AH145" s="348"/>
      <c r="AI145" s="348"/>
      <c r="AJ145" s="348"/>
      <c r="AK145" s="348"/>
      <c r="AL145" s="348"/>
      <c r="AM145" s="348"/>
      <c r="AN145" s="348"/>
      <c r="AO145" s="348"/>
      <c r="AP145" s="348"/>
      <c r="AQ145" s="348"/>
      <c r="AR145" s="348"/>
      <c r="AS145" s="348"/>
      <c r="AT145" s="348"/>
      <c r="AV145" s="526"/>
      <c r="AW145" s="534"/>
      <c r="AX145" s="534"/>
      <c r="AY145" s="9"/>
      <c r="AZ145" s="48"/>
      <c r="BA145" s="348"/>
      <c r="BB145" s="348"/>
      <c r="BC145" s="348"/>
      <c r="BD145" s="348"/>
      <c r="BE145" s="348"/>
    </row>
    <row r="146" spans="8:57" x14ac:dyDescent="0.25">
      <c r="H146" s="531"/>
      <c r="I146" s="4"/>
      <c r="J146" s="4"/>
      <c r="L146" s="4"/>
      <c r="R146" s="348"/>
      <c r="S146" s="348"/>
      <c r="T146" s="348"/>
      <c r="U146" s="348"/>
      <c r="W146" s="348"/>
      <c r="X146" s="348"/>
      <c r="Y146" s="348"/>
      <c r="Z146" s="348"/>
      <c r="AA146" s="525"/>
      <c r="AB146" s="348"/>
      <c r="AC146" s="348"/>
      <c r="AD146" s="348"/>
      <c r="AE146" s="348"/>
      <c r="AG146" s="348"/>
      <c r="AH146" s="348"/>
      <c r="AI146" s="348"/>
      <c r="AJ146" s="348"/>
      <c r="AK146" s="348"/>
      <c r="AL146" s="348"/>
      <c r="AM146" s="348"/>
      <c r="AN146" s="348"/>
      <c r="AO146" s="348"/>
      <c r="AP146" s="348"/>
      <c r="AQ146" s="348"/>
      <c r="AR146" s="348"/>
      <c r="AS146" s="348"/>
      <c r="AT146" s="348"/>
      <c r="AV146" s="526"/>
      <c r="AW146" s="534"/>
      <c r="AX146" s="534"/>
      <c r="AY146" s="9"/>
      <c r="AZ146" s="48"/>
      <c r="BA146" s="348"/>
      <c r="BB146" s="348"/>
      <c r="BC146" s="348"/>
      <c r="BD146" s="348"/>
      <c r="BE146" s="348"/>
    </row>
    <row r="147" spans="8:57" x14ac:dyDescent="0.25">
      <c r="H147" s="531"/>
      <c r="I147" s="4"/>
      <c r="J147" s="4"/>
      <c r="L147" s="4"/>
      <c r="R147" s="348"/>
      <c r="S147" s="348"/>
      <c r="T147" s="348"/>
      <c r="U147" s="348"/>
      <c r="W147" s="348"/>
      <c r="X147" s="348"/>
      <c r="Y147" s="348"/>
      <c r="Z147" s="348"/>
      <c r="AA147" s="525"/>
      <c r="AB147" s="348"/>
      <c r="AC147" s="348"/>
      <c r="AD147" s="348"/>
      <c r="AE147" s="348"/>
      <c r="AG147" s="348"/>
      <c r="AH147" s="348"/>
      <c r="AI147" s="348"/>
      <c r="AJ147" s="348"/>
      <c r="AK147" s="348"/>
      <c r="AL147" s="348"/>
      <c r="AM147" s="348"/>
      <c r="AN147" s="348"/>
      <c r="AO147" s="348"/>
      <c r="AP147" s="348"/>
      <c r="AQ147" s="348"/>
      <c r="AR147" s="348"/>
      <c r="AS147" s="348"/>
      <c r="AT147" s="348"/>
      <c r="AV147" s="526"/>
      <c r="AW147" s="534"/>
      <c r="AX147" s="534"/>
      <c r="AY147" s="9"/>
      <c r="AZ147" s="48"/>
      <c r="BA147" s="348"/>
      <c r="BB147" s="348"/>
      <c r="BC147" s="348"/>
      <c r="BD147" s="348"/>
      <c r="BE147" s="348"/>
    </row>
    <row r="148" spans="8:57" x14ac:dyDescent="0.25">
      <c r="H148" s="531"/>
      <c r="I148" s="4"/>
      <c r="J148" s="4"/>
      <c r="L148" s="4"/>
      <c r="R148" s="348"/>
      <c r="S148" s="348"/>
      <c r="T148" s="348"/>
      <c r="U148" s="348"/>
      <c r="W148" s="348"/>
      <c r="X148" s="348"/>
      <c r="Y148" s="348"/>
      <c r="Z148" s="348"/>
      <c r="AA148" s="525"/>
      <c r="AB148" s="348"/>
      <c r="AC148" s="348"/>
      <c r="AD148" s="348"/>
      <c r="AE148" s="348"/>
      <c r="AG148" s="348"/>
      <c r="AH148" s="348"/>
      <c r="AI148" s="348"/>
      <c r="AJ148" s="348"/>
      <c r="AK148" s="348"/>
      <c r="AL148" s="348"/>
      <c r="AM148" s="348"/>
      <c r="AN148" s="348"/>
      <c r="AO148" s="348"/>
      <c r="AP148" s="348"/>
      <c r="AQ148" s="348"/>
      <c r="AR148" s="348"/>
      <c r="AS148" s="348"/>
      <c r="AT148" s="348"/>
      <c r="AV148" s="526"/>
      <c r="AW148" s="534"/>
      <c r="AX148" s="534"/>
      <c r="AY148" s="9"/>
      <c r="AZ148" s="48"/>
      <c r="BA148" s="348"/>
      <c r="BB148" s="348"/>
      <c r="BC148" s="348"/>
      <c r="BD148" s="348"/>
      <c r="BE148" s="348"/>
    </row>
    <row r="149" spans="8:57" x14ac:dyDescent="0.25">
      <c r="H149" s="531"/>
      <c r="I149" s="4"/>
      <c r="J149" s="4"/>
      <c r="L149" s="4"/>
      <c r="R149" s="348"/>
      <c r="S149" s="348"/>
      <c r="T149" s="348"/>
      <c r="U149" s="348"/>
      <c r="W149" s="348"/>
      <c r="X149" s="348"/>
      <c r="Y149" s="348"/>
      <c r="Z149" s="348"/>
      <c r="AA149" s="525"/>
      <c r="AB149" s="348"/>
      <c r="AC149" s="348"/>
      <c r="AD149" s="348"/>
      <c r="AE149" s="348"/>
      <c r="AG149" s="348"/>
      <c r="AH149" s="348"/>
      <c r="AI149" s="348"/>
      <c r="AJ149" s="348"/>
      <c r="AK149" s="348"/>
      <c r="AL149" s="348"/>
      <c r="AM149" s="348"/>
      <c r="AN149" s="348"/>
      <c r="AO149" s="348"/>
      <c r="AP149" s="348"/>
      <c r="AQ149" s="348"/>
      <c r="AR149" s="348"/>
      <c r="AS149" s="348"/>
      <c r="AT149" s="348"/>
      <c r="AV149" s="526"/>
      <c r="AW149" s="534"/>
      <c r="AX149" s="534"/>
      <c r="AY149" s="9"/>
      <c r="AZ149" s="48"/>
      <c r="BA149" s="348"/>
      <c r="BB149" s="348"/>
      <c r="BC149" s="348"/>
      <c r="BD149" s="348"/>
      <c r="BE149" s="348"/>
    </row>
    <row r="150" spans="8:57" x14ac:dyDescent="0.25">
      <c r="H150" s="531"/>
      <c r="I150" s="4"/>
      <c r="J150" s="4"/>
      <c r="L150" s="4"/>
      <c r="R150" s="348"/>
      <c r="S150" s="348"/>
      <c r="T150" s="348"/>
      <c r="U150" s="348"/>
      <c r="W150" s="348"/>
      <c r="X150" s="348"/>
      <c r="Y150" s="348"/>
      <c r="Z150" s="348"/>
      <c r="AA150" s="525"/>
      <c r="AB150" s="348"/>
      <c r="AC150" s="348"/>
      <c r="AD150" s="348"/>
      <c r="AE150" s="348"/>
      <c r="AG150" s="348"/>
      <c r="AH150" s="348"/>
      <c r="AI150" s="348"/>
      <c r="AJ150" s="348"/>
      <c r="AK150" s="348"/>
      <c r="AL150" s="348"/>
      <c r="AM150" s="348"/>
      <c r="AN150" s="348"/>
      <c r="AO150" s="348"/>
      <c r="AP150" s="348"/>
      <c r="AQ150" s="348"/>
      <c r="AR150" s="348"/>
      <c r="AS150" s="348"/>
      <c r="AT150" s="348"/>
      <c r="AV150" s="526"/>
      <c r="AW150" s="534"/>
      <c r="AX150" s="534"/>
      <c r="AY150" s="9"/>
      <c r="AZ150" s="48"/>
      <c r="BA150" s="348"/>
      <c r="BB150" s="348"/>
      <c r="BC150" s="348"/>
      <c r="BD150" s="348"/>
      <c r="BE150" s="348"/>
    </row>
    <row r="151" spans="8:57" x14ac:dyDescent="0.25">
      <c r="H151" s="531"/>
      <c r="I151" s="4"/>
      <c r="J151" s="4"/>
      <c r="L151" s="4"/>
      <c r="R151" s="348"/>
      <c r="S151" s="348"/>
      <c r="T151" s="348"/>
      <c r="U151" s="348"/>
      <c r="W151" s="348"/>
      <c r="X151" s="348"/>
      <c r="Y151" s="348"/>
      <c r="Z151" s="348"/>
      <c r="AA151" s="525"/>
      <c r="AB151" s="348"/>
      <c r="AC151" s="348"/>
      <c r="AD151" s="348"/>
      <c r="AE151" s="348"/>
      <c r="AG151" s="348"/>
      <c r="AH151" s="348"/>
      <c r="AI151" s="348"/>
      <c r="AJ151" s="348"/>
      <c r="AK151" s="348"/>
      <c r="AL151" s="348"/>
      <c r="AM151" s="348"/>
      <c r="AN151" s="348"/>
      <c r="AO151" s="348"/>
      <c r="AP151" s="348"/>
      <c r="AQ151" s="348"/>
      <c r="AR151" s="348"/>
      <c r="AS151" s="348"/>
      <c r="AT151" s="348"/>
      <c r="AV151" s="526"/>
      <c r="AW151" s="534"/>
      <c r="AX151" s="534"/>
      <c r="AY151" s="9"/>
      <c r="AZ151" s="48"/>
      <c r="BA151" s="348"/>
      <c r="BB151" s="348"/>
      <c r="BC151" s="348"/>
      <c r="BD151" s="348"/>
      <c r="BE151" s="348"/>
    </row>
    <row r="152" spans="8:57" x14ac:dyDescent="0.25">
      <c r="H152" s="531"/>
      <c r="I152" s="4"/>
      <c r="J152" s="4"/>
      <c r="L152" s="4"/>
      <c r="R152" s="348"/>
      <c r="S152" s="348"/>
      <c r="T152" s="348"/>
      <c r="U152" s="348"/>
      <c r="W152" s="348"/>
      <c r="X152" s="348"/>
      <c r="Y152" s="348"/>
      <c r="Z152" s="348"/>
      <c r="AA152" s="525"/>
      <c r="AB152" s="348"/>
      <c r="AC152" s="348"/>
      <c r="AD152" s="348"/>
      <c r="AE152" s="348"/>
      <c r="AG152" s="348"/>
      <c r="AH152" s="348"/>
      <c r="AI152" s="348"/>
      <c r="AJ152" s="348"/>
      <c r="AK152" s="348"/>
      <c r="AL152" s="348"/>
      <c r="AM152" s="348"/>
      <c r="AN152" s="348"/>
      <c r="AO152" s="348"/>
      <c r="AP152" s="348"/>
      <c r="AQ152" s="348"/>
      <c r="AR152" s="348"/>
      <c r="AS152" s="348"/>
      <c r="AT152" s="348"/>
      <c r="AV152" s="526"/>
      <c r="AW152" s="534"/>
      <c r="AX152" s="534"/>
      <c r="AY152" s="9"/>
      <c r="AZ152" s="48"/>
      <c r="BA152" s="348"/>
      <c r="BB152" s="348"/>
      <c r="BC152" s="348"/>
      <c r="BD152" s="348"/>
      <c r="BE152" s="348"/>
    </row>
    <row r="153" spans="8:57" x14ac:dyDescent="0.25">
      <c r="H153" s="531"/>
      <c r="I153" s="4"/>
      <c r="J153" s="4"/>
      <c r="L153" s="4"/>
      <c r="R153" s="348"/>
      <c r="S153" s="348"/>
      <c r="T153" s="348"/>
      <c r="U153" s="348"/>
      <c r="W153" s="348"/>
      <c r="X153" s="348"/>
      <c r="Y153" s="348"/>
      <c r="Z153" s="348"/>
      <c r="AA153" s="525"/>
      <c r="AB153" s="348"/>
      <c r="AC153" s="348"/>
      <c r="AD153" s="348"/>
      <c r="AE153" s="348"/>
      <c r="AG153" s="348"/>
      <c r="AH153" s="348"/>
      <c r="AI153" s="348"/>
      <c r="AJ153" s="348"/>
      <c r="AK153" s="348"/>
      <c r="AL153" s="348"/>
      <c r="AM153" s="348"/>
      <c r="AN153" s="348"/>
      <c r="AO153" s="348"/>
      <c r="AP153" s="348"/>
      <c r="AQ153" s="348"/>
      <c r="AR153" s="348"/>
      <c r="AS153" s="348"/>
      <c r="AT153" s="348"/>
      <c r="AV153" s="526"/>
      <c r="AW153" s="534"/>
      <c r="AX153" s="534"/>
      <c r="AY153" s="9"/>
      <c r="AZ153" s="48"/>
      <c r="BA153" s="348"/>
      <c r="BB153" s="348"/>
      <c r="BC153" s="348"/>
      <c r="BD153" s="348"/>
      <c r="BE153" s="348"/>
    </row>
    <row r="154" spans="8:57" x14ac:dyDescent="0.25">
      <c r="H154" s="531"/>
      <c r="I154" s="4"/>
      <c r="J154" s="4"/>
      <c r="L154" s="4"/>
      <c r="R154" s="348"/>
      <c r="S154" s="348"/>
      <c r="T154" s="348"/>
      <c r="U154" s="348"/>
      <c r="W154" s="348"/>
      <c r="X154" s="348"/>
      <c r="Y154" s="348"/>
      <c r="Z154" s="348"/>
      <c r="AA154" s="525"/>
      <c r="AB154" s="348"/>
      <c r="AC154" s="348"/>
      <c r="AD154" s="348"/>
      <c r="AE154" s="348"/>
      <c r="AG154" s="348"/>
      <c r="AH154" s="348"/>
      <c r="AI154" s="348"/>
      <c r="AJ154" s="348"/>
      <c r="AK154" s="348"/>
      <c r="AL154" s="348"/>
      <c r="AM154" s="348"/>
      <c r="AN154" s="348"/>
      <c r="AO154" s="348"/>
      <c r="AP154" s="348"/>
      <c r="AQ154" s="348"/>
      <c r="AR154" s="348"/>
      <c r="AS154" s="348"/>
      <c r="AT154" s="348"/>
      <c r="AV154" s="526"/>
      <c r="AW154" s="534"/>
      <c r="AX154" s="534"/>
      <c r="AY154" s="9"/>
      <c r="AZ154" s="48"/>
      <c r="BA154" s="348"/>
      <c r="BB154" s="348"/>
      <c r="BC154" s="348"/>
      <c r="BD154" s="348"/>
      <c r="BE154" s="348"/>
    </row>
    <row r="155" spans="8:57" x14ac:dyDescent="0.25">
      <c r="H155" s="531"/>
      <c r="I155" s="4"/>
      <c r="J155" s="4"/>
      <c r="L155" s="4"/>
      <c r="R155" s="348"/>
      <c r="S155" s="348"/>
      <c r="T155" s="348"/>
      <c r="U155" s="348"/>
      <c r="W155" s="348"/>
      <c r="X155" s="348"/>
      <c r="Y155" s="348"/>
      <c r="Z155" s="348"/>
      <c r="AA155" s="525"/>
      <c r="AB155" s="348"/>
      <c r="AC155" s="348"/>
      <c r="AD155" s="348"/>
      <c r="AE155" s="348"/>
      <c r="AG155" s="348"/>
      <c r="AH155" s="348"/>
      <c r="AI155" s="348"/>
      <c r="AJ155" s="348"/>
      <c r="AK155" s="348"/>
      <c r="AL155" s="348"/>
      <c r="AM155" s="348"/>
      <c r="AN155" s="348"/>
      <c r="AO155" s="348"/>
      <c r="AP155" s="348"/>
      <c r="AQ155" s="348"/>
      <c r="AR155" s="348"/>
      <c r="AS155" s="348"/>
      <c r="AT155" s="348"/>
      <c r="AV155" s="526"/>
      <c r="AW155" s="534"/>
      <c r="AX155" s="534"/>
      <c r="AY155" s="9"/>
      <c r="AZ155" s="48"/>
      <c r="BA155" s="348"/>
      <c r="BB155" s="348"/>
      <c r="BC155" s="348"/>
      <c r="BD155" s="348"/>
      <c r="BE155" s="348"/>
    </row>
    <row r="156" spans="8:57" x14ac:dyDescent="0.25">
      <c r="H156" s="531"/>
      <c r="I156" s="4"/>
      <c r="J156" s="4"/>
      <c r="L156" s="4"/>
      <c r="R156" s="348"/>
      <c r="S156" s="348"/>
      <c r="T156" s="348"/>
      <c r="U156" s="348"/>
      <c r="W156" s="348"/>
      <c r="X156" s="348"/>
      <c r="Y156" s="348"/>
      <c r="Z156" s="348"/>
      <c r="AA156" s="525"/>
      <c r="AB156" s="348"/>
      <c r="AC156" s="348"/>
      <c r="AD156" s="348"/>
      <c r="AE156" s="348"/>
      <c r="AG156" s="348"/>
      <c r="AH156" s="348"/>
      <c r="AI156" s="348"/>
      <c r="AJ156" s="348"/>
      <c r="AK156" s="348"/>
      <c r="AL156" s="348"/>
      <c r="AM156" s="348"/>
      <c r="AN156" s="348"/>
      <c r="AO156" s="348"/>
      <c r="AP156" s="348"/>
      <c r="AQ156" s="348"/>
      <c r="AR156" s="348"/>
      <c r="AS156" s="348"/>
      <c r="AT156" s="348"/>
      <c r="AV156" s="526"/>
      <c r="AW156" s="534"/>
      <c r="AX156" s="534"/>
      <c r="AY156" s="9"/>
      <c r="AZ156" s="48"/>
      <c r="BA156" s="348"/>
      <c r="BB156" s="348"/>
      <c r="BC156" s="348"/>
      <c r="BD156" s="348"/>
      <c r="BE156" s="348"/>
    </row>
    <row r="157" spans="8:57" x14ac:dyDescent="0.25">
      <c r="H157" s="531"/>
      <c r="I157" s="4"/>
      <c r="J157" s="4"/>
      <c r="L157" s="4"/>
      <c r="R157" s="348"/>
      <c r="S157" s="348"/>
      <c r="T157" s="348"/>
      <c r="U157" s="348"/>
      <c r="W157" s="348"/>
      <c r="X157" s="348"/>
      <c r="Y157" s="348"/>
      <c r="Z157" s="348"/>
      <c r="AA157" s="525"/>
      <c r="AB157" s="348"/>
      <c r="AC157" s="348"/>
      <c r="AD157" s="348"/>
      <c r="AE157" s="348"/>
      <c r="AG157" s="348"/>
      <c r="AH157" s="348"/>
      <c r="AI157" s="348"/>
      <c r="AJ157" s="348"/>
      <c r="AK157" s="348"/>
      <c r="AL157" s="348"/>
      <c r="AM157" s="348"/>
      <c r="AN157" s="348"/>
      <c r="AO157" s="348"/>
      <c r="AP157" s="348"/>
      <c r="AQ157" s="348"/>
      <c r="AR157" s="348"/>
      <c r="AS157" s="348"/>
      <c r="AT157" s="348"/>
      <c r="AV157" s="526"/>
      <c r="AW157" s="534"/>
      <c r="AX157" s="534"/>
      <c r="AY157" s="9"/>
      <c r="AZ157" s="48"/>
      <c r="BA157" s="348"/>
      <c r="BB157" s="348"/>
      <c r="BC157" s="348"/>
      <c r="BD157" s="348"/>
      <c r="BE157" s="348"/>
    </row>
    <row r="158" spans="8:57" x14ac:dyDescent="0.25">
      <c r="H158" s="531"/>
      <c r="I158" s="4"/>
      <c r="J158" s="4"/>
      <c r="L158" s="4"/>
      <c r="R158" s="348"/>
      <c r="S158" s="348"/>
      <c r="T158" s="348"/>
      <c r="U158" s="348"/>
      <c r="W158" s="348"/>
      <c r="X158" s="348"/>
      <c r="Y158" s="348"/>
      <c r="Z158" s="348"/>
      <c r="AA158" s="525"/>
      <c r="AB158" s="348"/>
      <c r="AC158" s="348"/>
      <c r="AD158" s="348"/>
      <c r="AE158" s="348"/>
      <c r="AG158" s="348"/>
      <c r="AH158" s="348"/>
      <c r="AI158" s="348"/>
      <c r="AJ158" s="348"/>
      <c r="AK158" s="348"/>
      <c r="AL158" s="348"/>
      <c r="AM158" s="348"/>
      <c r="AN158" s="348"/>
      <c r="AO158" s="348"/>
      <c r="AP158" s="348"/>
      <c r="AQ158" s="348"/>
      <c r="AR158" s="348"/>
      <c r="AS158" s="348"/>
      <c r="AT158" s="348"/>
      <c r="AV158" s="526"/>
      <c r="AW158" s="534"/>
      <c r="AX158" s="534"/>
      <c r="AY158" s="9"/>
      <c r="AZ158" s="48"/>
      <c r="BA158" s="348"/>
      <c r="BB158" s="348"/>
      <c r="BC158" s="348"/>
      <c r="BD158" s="348"/>
      <c r="BE158" s="348"/>
    </row>
    <row r="159" spans="8:57" x14ac:dyDescent="0.25">
      <c r="H159" s="531"/>
      <c r="I159" s="4"/>
      <c r="J159" s="4"/>
      <c r="L159" s="4"/>
      <c r="R159" s="348"/>
      <c r="S159" s="348"/>
      <c r="T159" s="348"/>
      <c r="U159" s="348"/>
      <c r="W159" s="348"/>
      <c r="X159" s="348"/>
      <c r="Y159" s="348"/>
      <c r="Z159" s="348"/>
      <c r="AA159" s="525"/>
      <c r="AB159" s="348"/>
      <c r="AC159" s="348"/>
      <c r="AD159" s="348"/>
      <c r="AE159" s="348"/>
      <c r="AG159" s="348"/>
      <c r="AH159" s="348"/>
      <c r="AI159" s="348"/>
      <c r="AJ159" s="348"/>
      <c r="AK159" s="348"/>
      <c r="AL159" s="348"/>
      <c r="AM159" s="348"/>
      <c r="AN159" s="348"/>
      <c r="AO159" s="348"/>
      <c r="AP159" s="348"/>
      <c r="AQ159" s="348"/>
      <c r="AR159" s="348"/>
      <c r="AS159" s="348"/>
      <c r="AT159" s="348"/>
      <c r="AV159" s="526"/>
      <c r="AW159" s="534"/>
      <c r="AX159" s="534"/>
      <c r="AY159" s="9"/>
      <c r="AZ159" s="48"/>
      <c r="BA159" s="348"/>
      <c r="BB159" s="348"/>
      <c r="BC159" s="348"/>
      <c r="BD159" s="348"/>
      <c r="BE159" s="348"/>
    </row>
    <row r="160" spans="8:57" x14ac:dyDescent="0.25">
      <c r="H160" s="531"/>
      <c r="I160" s="4"/>
      <c r="J160" s="4"/>
      <c r="L160" s="4"/>
      <c r="R160" s="348"/>
      <c r="S160" s="348"/>
      <c r="T160" s="348"/>
      <c r="U160" s="348"/>
      <c r="W160" s="348"/>
      <c r="X160" s="348"/>
      <c r="Y160" s="348"/>
      <c r="Z160" s="348"/>
      <c r="AA160" s="525"/>
      <c r="AB160" s="348"/>
      <c r="AC160" s="348"/>
      <c r="AD160" s="348"/>
      <c r="AE160" s="348"/>
      <c r="AG160" s="348"/>
      <c r="AH160" s="348"/>
      <c r="AI160" s="348"/>
      <c r="AJ160" s="348"/>
      <c r="AK160" s="348"/>
      <c r="AL160" s="348"/>
      <c r="AM160" s="348"/>
      <c r="AN160" s="348"/>
      <c r="AO160" s="348"/>
      <c r="AP160" s="348"/>
      <c r="AQ160" s="348"/>
      <c r="AR160" s="348"/>
      <c r="AS160" s="348"/>
      <c r="AT160" s="348"/>
      <c r="AV160" s="526"/>
      <c r="AW160" s="534"/>
      <c r="AX160" s="534"/>
      <c r="AY160" s="9"/>
      <c r="AZ160" s="48"/>
      <c r="BA160" s="348"/>
      <c r="BB160" s="348"/>
      <c r="BC160" s="348"/>
      <c r="BD160" s="348"/>
      <c r="BE160" s="348"/>
    </row>
    <row r="161" spans="8:57" x14ac:dyDescent="0.25">
      <c r="H161" s="531"/>
      <c r="I161" s="4"/>
      <c r="J161" s="4"/>
      <c r="L161" s="4"/>
      <c r="R161" s="348"/>
      <c r="S161" s="348"/>
      <c r="T161" s="348"/>
      <c r="U161" s="348"/>
      <c r="W161" s="348"/>
      <c r="X161" s="348"/>
      <c r="Y161" s="348"/>
      <c r="Z161" s="348"/>
      <c r="AA161" s="525"/>
      <c r="AB161" s="348"/>
      <c r="AC161" s="348"/>
      <c r="AD161" s="348"/>
      <c r="AE161" s="348"/>
      <c r="AG161" s="348"/>
      <c r="AH161" s="348"/>
      <c r="AI161" s="348"/>
      <c r="AJ161" s="348"/>
      <c r="AK161" s="348"/>
      <c r="AL161" s="348"/>
      <c r="AM161" s="348"/>
      <c r="AN161" s="348"/>
      <c r="AO161" s="348"/>
      <c r="AP161" s="348"/>
      <c r="AQ161" s="348"/>
      <c r="AR161" s="348"/>
      <c r="AS161" s="348"/>
      <c r="AT161" s="348"/>
      <c r="AV161" s="526"/>
      <c r="AW161" s="534"/>
      <c r="AX161" s="534"/>
      <c r="AY161" s="9"/>
      <c r="AZ161" s="48"/>
      <c r="BA161" s="348"/>
      <c r="BB161" s="348"/>
      <c r="BC161" s="348"/>
      <c r="BD161" s="348"/>
      <c r="BE161" s="348"/>
    </row>
    <row r="162" spans="8:57" x14ac:dyDescent="0.25">
      <c r="H162" s="531"/>
      <c r="I162" s="4"/>
      <c r="J162" s="4"/>
      <c r="L162" s="4"/>
      <c r="R162" s="348"/>
      <c r="S162" s="348"/>
      <c r="T162" s="348"/>
      <c r="U162" s="348"/>
      <c r="W162" s="348"/>
      <c r="X162" s="348"/>
      <c r="Y162" s="348"/>
      <c r="Z162" s="348"/>
      <c r="AA162" s="525"/>
      <c r="AB162" s="348"/>
      <c r="AC162" s="348"/>
      <c r="AD162" s="348"/>
      <c r="AE162" s="348"/>
      <c r="AG162" s="348"/>
      <c r="AH162" s="348"/>
      <c r="AI162" s="348"/>
      <c r="AJ162" s="348"/>
      <c r="AK162" s="348"/>
      <c r="AL162" s="348"/>
      <c r="AM162" s="348"/>
      <c r="AN162" s="348"/>
      <c r="AO162" s="348"/>
      <c r="AP162" s="348"/>
      <c r="AQ162" s="348"/>
      <c r="AR162" s="348"/>
      <c r="AS162" s="348"/>
      <c r="AT162" s="348"/>
      <c r="AV162" s="526"/>
      <c r="AW162" s="534"/>
      <c r="AX162" s="534"/>
      <c r="AY162" s="9"/>
      <c r="AZ162" s="48"/>
      <c r="BA162" s="348"/>
      <c r="BB162" s="348"/>
      <c r="BC162" s="348"/>
      <c r="BD162" s="348"/>
      <c r="BE162" s="348"/>
    </row>
    <row r="163" spans="8:57" x14ac:dyDescent="0.25">
      <c r="H163" s="531"/>
      <c r="I163" s="4"/>
      <c r="J163" s="4"/>
      <c r="L163" s="4"/>
      <c r="R163" s="348"/>
      <c r="S163" s="348"/>
      <c r="T163" s="348"/>
      <c r="U163" s="348"/>
      <c r="W163" s="348"/>
      <c r="X163" s="348"/>
      <c r="Y163" s="348"/>
      <c r="Z163" s="348"/>
      <c r="AA163" s="525"/>
      <c r="AB163" s="348"/>
      <c r="AC163" s="348"/>
      <c r="AD163" s="348"/>
      <c r="AE163" s="348"/>
      <c r="AG163" s="348"/>
      <c r="AH163" s="348"/>
      <c r="AI163" s="348"/>
      <c r="AJ163" s="348"/>
      <c r="AK163" s="348"/>
      <c r="AL163" s="348"/>
      <c r="AM163" s="348"/>
      <c r="AN163" s="348"/>
      <c r="AO163" s="348"/>
      <c r="AP163" s="348"/>
      <c r="AQ163" s="348"/>
      <c r="AR163" s="348"/>
      <c r="AS163" s="348"/>
      <c r="AT163" s="348"/>
      <c r="AV163" s="526"/>
      <c r="AW163" s="534"/>
      <c r="AX163" s="534"/>
      <c r="AY163" s="9"/>
      <c r="AZ163" s="48"/>
      <c r="BA163" s="348"/>
      <c r="BB163" s="348"/>
      <c r="BC163" s="348"/>
      <c r="BD163" s="348"/>
      <c r="BE163" s="348"/>
    </row>
    <row r="164" spans="8:57" x14ac:dyDescent="0.25">
      <c r="H164" s="531"/>
      <c r="I164" s="4"/>
      <c r="J164" s="4"/>
      <c r="L164" s="4"/>
      <c r="R164" s="348"/>
      <c r="S164" s="348"/>
      <c r="T164" s="348"/>
      <c r="U164" s="348"/>
      <c r="W164" s="348"/>
      <c r="X164" s="348"/>
      <c r="Y164" s="348"/>
      <c r="Z164" s="348"/>
      <c r="AA164" s="525"/>
      <c r="AB164" s="348"/>
      <c r="AC164" s="348"/>
      <c r="AD164" s="348"/>
      <c r="AE164" s="348"/>
      <c r="AG164" s="348"/>
      <c r="AH164" s="348"/>
      <c r="AI164" s="348"/>
      <c r="AJ164" s="348"/>
      <c r="AK164" s="348"/>
      <c r="AL164" s="348"/>
      <c r="AM164" s="348"/>
      <c r="AN164" s="348"/>
      <c r="AO164" s="348"/>
      <c r="AP164" s="348"/>
      <c r="AQ164" s="348"/>
      <c r="AR164" s="348"/>
      <c r="AS164" s="348"/>
      <c r="AT164" s="348"/>
      <c r="AV164" s="526"/>
      <c r="AW164" s="534"/>
      <c r="AX164" s="534"/>
      <c r="AY164" s="9"/>
      <c r="AZ164" s="48"/>
      <c r="BA164" s="348"/>
      <c r="BB164" s="348"/>
      <c r="BC164" s="348"/>
      <c r="BD164" s="348"/>
      <c r="BE164" s="348"/>
    </row>
    <row r="165" spans="8:57" x14ac:dyDescent="0.25">
      <c r="H165" s="531"/>
      <c r="I165" s="4"/>
      <c r="J165" s="4"/>
      <c r="L165" s="4"/>
      <c r="R165" s="348"/>
      <c r="S165" s="348"/>
      <c r="T165" s="348"/>
      <c r="U165" s="348"/>
      <c r="W165" s="348"/>
      <c r="X165" s="348"/>
      <c r="Y165" s="348"/>
      <c r="Z165" s="348"/>
      <c r="AA165" s="525"/>
      <c r="AB165" s="348"/>
      <c r="AC165" s="348"/>
      <c r="AD165" s="348"/>
      <c r="AE165" s="348"/>
      <c r="AG165" s="348"/>
      <c r="AH165" s="348"/>
      <c r="AI165" s="348"/>
      <c r="AJ165" s="348"/>
      <c r="AK165" s="348"/>
      <c r="AL165" s="348"/>
      <c r="AM165" s="348"/>
      <c r="AN165" s="348"/>
      <c r="AO165" s="348"/>
      <c r="AP165" s="348"/>
      <c r="AQ165" s="348"/>
      <c r="AR165" s="348"/>
      <c r="AS165" s="348"/>
      <c r="AT165" s="348"/>
      <c r="AV165" s="526"/>
      <c r="AW165" s="534"/>
      <c r="AX165" s="534"/>
      <c r="AY165" s="9"/>
      <c r="AZ165" s="48"/>
      <c r="BA165" s="348"/>
      <c r="BB165" s="348"/>
      <c r="BC165" s="348"/>
      <c r="BD165" s="348"/>
      <c r="BE165" s="348"/>
    </row>
    <row r="166" spans="8:57" x14ac:dyDescent="0.25">
      <c r="H166" s="531"/>
      <c r="I166" s="4"/>
      <c r="J166" s="4"/>
      <c r="L166" s="4"/>
      <c r="R166" s="348"/>
      <c r="S166" s="348"/>
      <c r="T166" s="348"/>
      <c r="U166" s="348"/>
      <c r="W166" s="348"/>
      <c r="X166" s="348"/>
      <c r="Y166" s="348"/>
      <c r="Z166" s="348"/>
      <c r="AA166" s="525"/>
      <c r="AB166" s="348"/>
      <c r="AC166" s="348"/>
      <c r="AD166" s="348"/>
      <c r="AE166" s="348"/>
      <c r="AG166" s="348"/>
      <c r="AH166" s="348"/>
      <c r="AI166" s="348"/>
      <c r="AJ166" s="348"/>
      <c r="AK166" s="348"/>
      <c r="AL166" s="348"/>
      <c r="AM166" s="348"/>
      <c r="AN166" s="348"/>
      <c r="AO166" s="348"/>
      <c r="AP166" s="348"/>
      <c r="AQ166" s="348"/>
      <c r="AR166" s="348"/>
      <c r="AS166" s="348"/>
      <c r="AT166" s="348"/>
      <c r="AV166" s="526"/>
      <c r="AW166" s="534"/>
      <c r="AX166" s="534"/>
      <c r="AY166" s="9"/>
      <c r="AZ166" s="48"/>
      <c r="BA166" s="348"/>
      <c r="BB166" s="348"/>
      <c r="BC166" s="348"/>
      <c r="BD166" s="348"/>
      <c r="BE166" s="348"/>
    </row>
    <row r="167" spans="8:57" x14ac:dyDescent="0.25">
      <c r="H167" s="531"/>
      <c r="I167" s="4"/>
      <c r="J167" s="4"/>
      <c r="L167" s="4"/>
      <c r="R167" s="348"/>
      <c r="S167" s="348"/>
      <c r="T167" s="348"/>
      <c r="U167" s="348"/>
      <c r="W167" s="348"/>
      <c r="X167" s="348"/>
      <c r="Y167" s="348"/>
      <c r="Z167" s="348"/>
      <c r="AA167" s="525"/>
      <c r="AB167" s="348"/>
      <c r="AC167" s="348"/>
      <c r="AD167" s="348"/>
      <c r="AE167" s="348"/>
      <c r="AG167" s="348"/>
      <c r="AH167" s="348"/>
      <c r="AI167" s="348"/>
      <c r="AJ167" s="348"/>
      <c r="AK167" s="348"/>
      <c r="AL167" s="348"/>
      <c r="AM167" s="348"/>
      <c r="AN167" s="348"/>
      <c r="AO167" s="348"/>
      <c r="AP167" s="348"/>
      <c r="AQ167" s="348"/>
      <c r="AR167" s="348"/>
      <c r="AS167" s="348"/>
      <c r="AT167" s="348"/>
      <c r="AV167" s="526"/>
      <c r="AW167" s="534"/>
      <c r="AX167" s="534"/>
      <c r="AY167" s="9"/>
      <c r="AZ167" s="48"/>
      <c r="BA167" s="348"/>
      <c r="BB167" s="348"/>
      <c r="BC167" s="348"/>
      <c r="BD167" s="348"/>
      <c r="BE167" s="348"/>
    </row>
    <row r="168" spans="8:57" x14ac:dyDescent="0.25">
      <c r="H168" s="531"/>
      <c r="I168" s="4"/>
      <c r="J168" s="4"/>
      <c r="L168" s="4"/>
      <c r="R168" s="348"/>
      <c r="S168" s="348"/>
      <c r="T168" s="348"/>
      <c r="U168" s="348"/>
      <c r="W168" s="348"/>
      <c r="X168" s="348"/>
      <c r="Y168" s="348"/>
      <c r="Z168" s="348"/>
      <c r="AA168" s="525"/>
      <c r="AB168" s="348"/>
      <c r="AC168" s="348"/>
      <c r="AD168" s="348"/>
      <c r="AE168" s="348"/>
      <c r="AG168" s="348"/>
      <c r="AH168" s="348"/>
      <c r="AI168" s="348"/>
      <c r="AJ168" s="348"/>
      <c r="AK168" s="348"/>
      <c r="AL168" s="348"/>
      <c r="AM168" s="348"/>
      <c r="AN168" s="348"/>
      <c r="AO168" s="348"/>
      <c r="AP168" s="348"/>
      <c r="AQ168" s="348"/>
      <c r="AR168" s="348"/>
      <c r="AS168" s="348"/>
      <c r="AT168" s="348"/>
      <c r="AV168" s="526"/>
      <c r="AW168" s="534"/>
      <c r="AX168" s="534"/>
      <c r="AY168" s="9"/>
      <c r="AZ168" s="48"/>
      <c r="BA168" s="348"/>
      <c r="BB168" s="348"/>
      <c r="BC168" s="348"/>
      <c r="BD168" s="348"/>
      <c r="BE168" s="348"/>
    </row>
    <row r="169" spans="8:57" x14ac:dyDescent="0.25">
      <c r="H169" s="531"/>
      <c r="I169" s="4"/>
      <c r="J169" s="4"/>
      <c r="L169" s="4"/>
      <c r="R169" s="348"/>
      <c r="S169" s="348"/>
      <c r="T169" s="348"/>
      <c r="U169" s="348"/>
      <c r="W169" s="348"/>
      <c r="X169" s="348"/>
      <c r="Y169" s="348"/>
      <c r="Z169" s="348"/>
      <c r="AA169" s="525"/>
      <c r="AB169" s="348"/>
      <c r="AC169" s="348"/>
      <c r="AD169" s="348"/>
      <c r="AE169" s="348"/>
      <c r="AG169" s="348"/>
      <c r="AH169" s="348"/>
      <c r="AI169" s="348"/>
      <c r="AJ169" s="348"/>
      <c r="AK169" s="348"/>
      <c r="AL169" s="348"/>
      <c r="AM169" s="348"/>
      <c r="AN169" s="348"/>
      <c r="AO169" s="348"/>
      <c r="AP169" s="348"/>
      <c r="AQ169" s="348"/>
      <c r="AR169" s="348"/>
      <c r="AS169" s="348"/>
      <c r="AT169" s="348"/>
      <c r="AV169" s="526"/>
      <c r="AW169" s="534"/>
      <c r="AX169" s="534"/>
      <c r="AY169" s="9"/>
      <c r="AZ169" s="48"/>
      <c r="BA169" s="348"/>
      <c r="BB169" s="348"/>
      <c r="BC169" s="348"/>
      <c r="BD169" s="348"/>
      <c r="BE169" s="348"/>
    </row>
    <row r="170" spans="8:57" x14ac:dyDescent="0.25">
      <c r="H170" s="531"/>
      <c r="I170" s="4"/>
      <c r="J170" s="4"/>
      <c r="L170" s="4"/>
      <c r="R170" s="348"/>
      <c r="S170" s="348"/>
      <c r="T170" s="348"/>
      <c r="U170" s="348"/>
      <c r="W170" s="348"/>
      <c r="X170" s="348"/>
      <c r="Y170" s="348"/>
      <c r="Z170" s="348"/>
      <c r="AA170" s="525"/>
      <c r="AB170" s="348"/>
      <c r="AC170" s="348"/>
      <c r="AD170" s="348"/>
      <c r="AE170" s="348"/>
      <c r="AG170" s="348"/>
      <c r="AH170" s="348"/>
      <c r="AI170" s="348"/>
      <c r="AJ170" s="348"/>
      <c r="AK170" s="348"/>
      <c r="AL170" s="348"/>
      <c r="AM170" s="348"/>
      <c r="AN170" s="348"/>
      <c r="AO170" s="348"/>
      <c r="AP170" s="348"/>
      <c r="AQ170" s="348"/>
      <c r="AR170" s="348"/>
      <c r="AS170" s="348"/>
      <c r="AT170" s="348"/>
      <c r="AV170" s="526"/>
      <c r="AW170" s="534"/>
      <c r="AX170" s="534"/>
      <c r="AY170" s="9"/>
      <c r="AZ170" s="48"/>
      <c r="BA170" s="348"/>
      <c r="BB170" s="348"/>
      <c r="BC170" s="348"/>
      <c r="BD170" s="348"/>
      <c r="BE170" s="348"/>
    </row>
    <row r="171" spans="8:57" x14ac:dyDescent="0.25">
      <c r="H171" s="531"/>
      <c r="I171" s="4"/>
      <c r="J171" s="4"/>
      <c r="L171" s="4"/>
      <c r="R171" s="348"/>
      <c r="S171" s="348"/>
      <c r="T171" s="348"/>
      <c r="U171" s="348"/>
      <c r="W171" s="348"/>
      <c r="X171" s="348"/>
      <c r="Y171" s="348"/>
      <c r="Z171" s="348"/>
      <c r="AA171" s="525"/>
      <c r="AB171" s="348"/>
      <c r="AC171" s="348"/>
      <c r="AD171" s="348"/>
      <c r="AE171" s="348"/>
      <c r="AG171" s="348"/>
      <c r="AH171" s="348"/>
      <c r="AI171" s="348"/>
      <c r="AJ171" s="348"/>
      <c r="AK171" s="348"/>
      <c r="AL171" s="348"/>
      <c r="AM171" s="348"/>
      <c r="AN171" s="348"/>
      <c r="AO171" s="348"/>
      <c r="AP171" s="348"/>
      <c r="AQ171" s="348"/>
      <c r="AR171" s="348"/>
      <c r="AS171" s="348"/>
      <c r="AT171" s="348"/>
      <c r="AV171" s="526"/>
      <c r="AW171" s="534"/>
      <c r="AX171" s="534"/>
      <c r="AY171" s="9"/>
      <c r="AZ171" s="48"/>
      <c r="BA171" s="348"/>
      <c r="BB171" s="348"/>
      <c r="BC171" s="348"/>
      <c r="BD171" s="348"/>
      <c r="BE171" s="348"/>
    </row>
    <row r="172" spans="8:57" x14ac:dyDescent="0.25">
      <c r="H172" s="531"/>
      <c r="I172" s="4"/>
      <c r="J172" s="4"/>
      <c r="L172" s="4"/>
      <c r="R172" s="348"/>
      <c r="S172" s="348"/>
      <c r="T172" s="348"/>
      <c r="U172" s="348"/>
      <c r="W172" s="348"/>
      <c r="X172" s="348"/>
      <c r="Y172" s="348"/>
      <c r="Z172" s="348"/>
      <c r="AA172" s="525"/>
      <c r="AB172" s="348"/>
      <c r="AC172" s="348"/>
      <c r="AD172" s="348"/>
      <c r="AE172" s="348"/>
      <c r="AG172" s="348"/>
      <c r="AH172" s="348"/>
      <c r="AI172" s="348"/>
      <c r="AJ172" s="348"/>
      <c r="AK172" s="348"/>
      <c r="AL172" s="348"/>
      <c r="AM172" s="348"/>
      <c r="AN172" s="348"/>
      <c r="AO172" s="348"/>
      <c r="AP172" s="348"/>
      <c r="AQ172" s="348"/>
      <c r="AR172" s="348"/>
      <c r="AS172" s="348"/>
      <c r="AT172" s="348"/>
      <c r="AV172" s="526"/>
      <c r="AW172" s="534"/>
      <c r="AX172" s="534"/>
      <c r="AY172" s="9"/>
      <c r="AZ172" s="48"/>
      <c r="BA172" s="348"/>
      <c r="BB172" s="348"/>
      <c r="BC172" s="348"/>
      <c r="BD172" s="348"/>
      <c r="BE172" s="348"/>
    </row>
    <row r="173" spans="8:57" x14ac:dyDescent="0.25">
      <c r="H173" s="531"/>
      <c r="I173" s="4"/>
      <c r="J173" s="4"/>
      <c r="L173" s="4"/>
      <c r="R173" s="348"/>
      <c r="S173" s="348"/>
      <c r="T173" s="348"/>
      <c r="U173" s="348"/>
      <c r="W173" s="348"/>
      <c r="X173" s="348"/>
      <c r="Y173" s="348"/>
      <c r="Z173" s="348"/>
      <c r="AA173" s="525"/>
      <c r="AB173" s="348"/>
      <c r="AC173" s="348"/>
      <c r="AD173" s="348"/>
      <c r="AE173" s="348"/>
      <c r="AG173" s="348"/>
      <c r="AH173" s="348"/>
      <c r="AI173" s="348"/>
      <c r="AJ173" s="348"/>
      <c r="AK173" s="348"/>
      <c r="AL173" s="348"/>
      <c r="AM173" s="348"/>
      <c r="AN173" s="348"/>
      <c r="AO173" s="348"/>
      <c r="AP173" s="348"/>
      <c r="AQ173" s="348"/>
      <c r="AR173" s="348"/>
      <c r="AS173" s="348"/>
      <c r="AT173" s="348"/>
      <c r="AV173" s="526"/>
      <c r="AW173" s="534"/>
      <c r="AX173" s="534"/>
      <c r="AY173" s="9"/>
      <c r="AZ173" s="48"/>
      <c r="BA173" s="348"/>
      <c r="BB173" s="348"/>
      <c r="BC173" s="348"/>
      <c r="BD173" s="348"/>
      <c r="BE173" s="348"/>
    </row>
    <row r="174" spans="8:57" x14ac:dyDescent="0.25">
      <c r="H174" s="531"/>
      <c r="I174" s="4"/>
      <c r="J174" s="4"/>
      <c r="L174" s="4"/>
      <c r="R174" s="348"/>
      <c r="S174" s="348"/>
      <c r="T174" s="348"/>
      <c r="U174" s="348"/>
      <c r="W174" s="348"/>
      <c r="X174" s="348"/>
      <c r="Y174" s="348"/>
      <c r="Z174" s="348"/>
      <c r="AA174" s="525"/>
      <c r="AB174" s="348"/>
      <c r="AC174" s="348"/>
      <c r="AD174" s="348"/>
      <c r="AE174" s="348"/>
      <c r="AG174" s="348"/>
      <c r="AH174" s="348"/>
      <c r="AI174" s="348"/>
      <c r="AJ174" s="348"/>
      <c r="AK174" s="348"/>
      <c r="AL174" s="348"/>
      <c r="AM174" s="348"/>
      <c r="AN174" s="348"/>
      <c r="AO174" s="348"/>
      <c r="AP174" s="348"/>
      <c r="AQ174" s="348"/>
      <c r="AR174" s="348"/>
      <c r="AS174" s="348"/>
      <c r="AT174" s="348"/>
      <c r="AV174" s="526"/>
      <c r="AW174" s="534"/>
      <c r="AX174" s="534"/>
      <c r="AY174" s="9"/>
      <c r="AZ174" s="48"/>
      <c r="BA174" s="348"/>
      <c r="BB174" s="348"/>
      <c r="BC174" s="348"/>
      <c r="BD174" s="348"/>
      <c r="BE174" s="348"/>
    </row>
    <row r="175" spans="8:57" x14ac:dyDescent="0.25">
      <c r="H175" s="531"/>
      <c r="I175" s="4"/>
      <c r="J175" s="4"/>
      <c r="L175" s="4"/>
      <c r="R175" s="348"/>
      <c r="S175" s="348"/>
      <c r="T175" s="348"/>
      <c r="U175" s="348"/>
      <c r="W175" s="348"/>
      <c r="X175" s="348"/>
      <c r="Y175" s="348"/>
      <c r="Z175" s="348"/>
      <c r="AA175" s="525"/>
      <c r="AB175" s="348"/>
      <c r="AC175" s="348"/>
      <c r="AD175" s="348"/>
      <c r="AE175" s="348"/>
      <c r="AG175" s="348"/>
      <c r="AH175" s="348"/>
      <c r="AI175" s="348"/>
      <c r="AJ175" s="348"/>
      <c r="AK175" s="348"/>
      <c r="AL175" s="348"/>
      <c r="AM175" s="348"/>
      <c r="AN175" s="348"/>
      <c r="AO175" s="348"/>
      <c r="AP175" s="348"/>
      <c r="AQ175" s="348"/>
      <c r="AR175" s="348"/>
      <c r="AS175" s="348"/>
      <c r="AT175" s="348"/>
      <c r="AV175" s="526"/>
      <c r="AW175" s="534"/>
      <c r="AX175" s="534"/>
      <c r="AY175" s="9"/>
      <c r="AZ175" s="48"/>
      <c r="BA175" s="348"/>
      <c r="BB175" s="348"/>
      <c r="BC175" s="348"/>
      <c r="BD175" s="348"/>
      <c r="BE175" s="348"/>
    </row>
    <row r="176" spans="8:57" x14ac:dyDescent="0.25">
      <c r="H176" s="531"/>
      <c r="I176" s="4"/>
      <c r="J176" s="4"/>
      <c r="L176" s="4"/>
      <c r="R176" s="348"/>
      <c r="S176" s="348"/>
      <c r="T176" s="348"/>
      <c r="U176" s="348"/>
      <c r="W176" s="348"/>
      <c r="X176" s="348"/>
      <c r="Y176" s="348"/>
      <c r="Z176" s="348"/>
      <c r="AA176" s="525"/>
      <c r="AB176" s="348"/>
      <c r="AC176" s="348"/>
      <c r="AD176" s="348"/>
      <c r="AE176" s="348"/>
      <c r="AG176" s="348"/>
      <c r="AH176" s="348"/>
      <c r="AI176" s="348"/>
      <c r="AJ176" s="348"/>
      <c r="AK176" s="348"/>
      <c r="AL176" s="348"/>
      <c r="AM176" s="348"/>
      <c r="AN176" s="348"/>
      <c r="AO176" s="348"/>
      <c r="AP176" s="348"/>
      <c r="AQ176" s="348"/>
      <c r="AR176" s="348"/>
      <c r="AS176" s="348"/>
      <c r="AT176" s="348"/>
      <c r="AV176" s="526"/>
      <c r="AW176" s="534"/>
      <c r="AX176" s="534"/>
      <c r="AY176" s="9"/>
      <c r="AZ176" s="48"/>
      <c r="BA176" s="348"/>
      <c r="BB176" s="348"/>
      <c r="BC176" s="348"/>
      <c r="BD176" s="348"/>
      <c r="BE176" s="348"/>
    </row>
    <row r="177" spans="8:57" x14ac:dyDescent="0.25">
      <c r="H177" s="531"/>
      <c r="I177" s="4"/>
      <c r="J177" s="4"/>
      <c r="L177" s="4"/>
      <c r="R177" s="348"/>
      <c r="S177" s="348"/>
      <c r="T177" s="348"/>
      <c r="U177" s="348"/>
      <c r="W177" s="348"/>
      <c r="X177" s="348"/>
      <c r="Y177" s="348"/>
      <c r="Z177" s="348"/>
      <c r="AA177" s="525"/>
      <c r="AB177" s="348"/>
      <c r="AC177" s="348"/>
      <c r="AD177" s="348"/>
      <c r="AE177" s="348"/>
      <c r="AG177" s="348"/>
      <c r="AH177" s="348"/>
      <c r="AI177" s="348"/>
      <c r="AJ177" s="348"/>
      <c r="AK177" s="348"/>
      <c r="AL177" s="348"/>
      <c r="AM177" s="348"/>
      <c r="AN177" s="348"/>
      <c r="AO177" s="348"/>
      <c r="AP177" s="348"/>
      <c r="AQ177" s="348"/>
      <c r="AR177" s="348"/>
      <c r="AS177" s="348"/>
      <c r="AT177" s="348"/>
      <c r="AV177" s="526"/>
      <c r="AW177" s="534"/>
      <c r="AX177" s="534"/>
      <c r="AY177" s="9"/>
      <c r="AZ177" s="48"/>
      <c r="BA177" s="348"/>
      <c r="BB177" s="348"/>
      <c r="BC177" s="348"/>
      <c r="BD177" s="348"/>
      <c r="BE177" s="348"/>
    </row>
    <row r="178" spans="8:57" x14ac:dyDescent="0.25">
      <c r="H178" s="531"/>
      <c r="I178" s="4"/>
      <c r="J178" s="4"/>
      <c r="L178" s="4"/>
      <c r="R178" s="348"/>
      <c r="S178" s="348"/>
      <c r="T178" s="348"/>
      <c r="U178" s="348"/>
      <c r="W178" s="348"/>
      <c r="X178" s="348"/>
      <c r="Y178" s="348"/>
      <c r="Z178" s="348"/>
      <c r="AA178" s="525"/>
      <c r="AB178" s="348"/>
      <c r="AC178" s="348"/>
      <c r="AD178" s="348"/>
      <c r="AE178" s="348"/>
      <c r="AG178" s="348"/>
      <c r="AH178" s="348"/>
      <c r="AI178" s="348"/>
      <c r="AJ178" s="348"/>
      <c r="AK178" s="348"/>
      <c r="AL178" s="348"/>
      <c r="AM178" s="348"/>
      <c r="AN178" s="348"/>
      <c r="AO178" s="348"/>
      <c r="AP178" s="348"/>
      <c r="AQ178" s="348"/>
      <c r="AR178" s="348"/>
      <c r="AS178" s="348"/>
      <c r="AT178" s="348"/>
      <c r="AV178" s="526"/>
      <c r="AW178" s="534"/>
      <c r="AX178" s="534"/>
      <c r="AY178" s="9"/>
      <c r="AZ178" s="48"/>
      <c r="BA178" s="348"/>
      <c r="BB178" s="348"/>
      <c r="BC178" s="348"/>
      <c r="BD178" s="348"/>
      <c r="BE178" s="348"/>
    </row>
    <row r="179" spans="8:57" x14ac:dyDescent="0.25">
      <c r="H179" s="531"/>
      <c r="I179" s="4"/>
      <c r="J179" s="4"/>
      <c r="L179" s="4"/>
      <c r="R179" s="348"/>
      <c r="S179" s="348"/>
      <c r="T179" s="348"/>
      <c r="U179" s="348"/>
      <c r="W179" s="348"/>
      <c r="X179" s="348"/>
      <c r="Y179" s="348"/>
      <c r="Z179" s="348"/>
      <c r="AA179" s="525"/>
      <c r="AB179" s="348"/>
      <c r="AC179" s="348"/>
      <c r="AD179" s="348"/>
      <c r="AE179" s="348"/>
      <c r="AG179" s="348"/>
      <c r="AH179" s="348"/>
      <c r="AI179" s="348"/>
      <c r="AJ179" s="348"/>
      <c r="AK179" s="348"/>
      <c r="AL179" s="348"/>
      <c r="AM179" s="348"/>
      <c r="AN179" s="348"/>
      <c r="AO179" s="348"/>
      <c r="AP179" s="348"/>
      <c r="AQ179" s="348"/>
      <c r="AR179" s="348"/>
      <c r="AS179" s="348"/>
      <c r="AT179" s="348"/>
      <c r="AV179" s="526"/>
      <c r="AW179" s="534"/>
      <c r="AX179" s="534"/>
      <c r="AY179" s="9"/>
      <c r="AZ179" s="48"/>
      <c r="BA179" s="348"/>
      <c r="BB179" s="348"/>
      <c r="BC179" s="348"/>
      <c r="BD179" s="348"/>
      <c r="BE179" s="348"/>
    </row>
    <row r="180" spans="8:57" x14ac:dyDescent="0.25">
      <c r="H180" s="531"/>
      <c r="I180" s="4"/>
      <c r="J180" s="4"/>
      <c r="L180" s="4"/>
      <c r="R180" s="348"/>
      <c r="S180" s="348"/>
      <c r="T180" s="348"/>
      <c r="U180" s="348"/>
      <c r="W180" s="348"/>
      <c r="X180" s="348"/>
      <c r="Y180" s="348"/>
      <c r="Z180" s="348"/>
      <c r="AA180" s="525"/>
      <c r="AB180" s="348"/>
      <c r="AC180" s="348"/>
      <c r="AD180" s="348"/>
      <c r="AE180" s="348"/>
      <c r="AG180" s="348"/>
      <c r="AH180" s="348"/>
      <c r="AI180" s="348"/>
      <c r="AJ180" s="348"/>
      <c r="AK180" s="348"/>
      <c r="AL180" s="348"/>
      <c r="AM180" s="348"/>
      <c r="AN180" s="348"/>
      <c r="AO180" s="348"/>
      <c r="AP180" s="348"/>
      <c r="AQ180" s="348"/>
      <c r="AR180" s="348"/>
      <c r="AS180" s="348"/>
      <c r="AT180" s="348"/>
      <c r="AV180" s="526"/>
      <c r="AW180" s="534"/>
      <c r="AX180" s="534"/>
      <c r="AY180" s="9"/>
      <c r="AZ180" s="48"/>
      <c r="BA180" s="348"/>
      <c r="BB180" s="348"/>
      <c r="BC180" s="348"/>
      <c r="BD180" s="348"/>
      <c r="BE180" s="348"/>
    </row>
    <row r="181" spans="8:57" x14ac:dyDescent="0.25">
      <c r="H181" s="531"/>
      <c r="I181" s="4"/>
      <c r="J181" s="4"/>
      <c r="L181" s="4"/>
      <c r="R181" s="348"/>
      <c r="S181" s="348"/>
      <c r="T181" s="348"/>
      <c r="U181" s="348"/>
      <c r="W181" s="348"/>
      <c r="X181" s="348"/>
      <c r="Y181" s="348"/>
      <c r="Z181" s="348"/>
      <c r="AA181" s="525"/>
      <c r="AB181" s="348"/>
      <c r="AC181" s="348"/>
      <c r="AD181" s="348"/>
      <c r="AE181" s="348"/>
      <c r="AG181" s="348"/>
      <c r="AH181" s="348"/>
      <c r="AI181" s="348"/>
      <c r="AJ181" s="348"/>
      <c r="AK181" s="348"/>
      <c r="AL181" s="348"/>
      <c r="AM181" s="348"/>
      <c r="AN181" s="348"/>
      <c r="AO181" s="348"/>
      <c r="AP181" s="348"/>
      <c r="AQ181" s="348"/>
      <c r="AR181" s="348"/>
      <c r="AS181" s="348"/>
      <c r="AT181" s="348"/>
      <c r="AV181" s="526"/>
      <c r="AW181" s="534"/>
      <c r="AX181" s="534"/>
      <c r="AY181" s="9"/>
      <c r="AZ181" s="48"/>
      <c r="BA181" s="348"/>
      <c r="BB181" s="348"/>
      <c r="BC181" s="348"/>
      <c r="BD181" s="348"/>
      <c r="BE181" s="348"/>
    </row>
    <row r="182" spans="8:57" x14ac:dyDescent="0.25">
      <c r="H182" s="531"/>
      <c r="I182" s="4"/>
      <c r="J182" s="4"/>
      <c r="L182" s="4"/>
      <c r="R182" s="348"/>
      <c r="S182" s="348"/>
      <c r="T182" s="348"/>
      <c r="U182" s="348"/>
      <c r="W182" s="348"/>
      <c r="X182" s="348"/>
      <c r="Y182" s="348"/>
      <c r="Z182" s="348"/>
      <c r="AA182" s="525"/>
      <c r="AB182" s="348"/>
      <c r="AC182" s="348"/>
      <c r="AD182" s="348"/>
      <c r="AE182" s="348"/>
      <c r="AG182" s="348"/>
      <c r="AH182" s="348"/>
      <c r="AI182" s="348"/>
      <c r="AJ182" s="348"/>
      <c r="AK182" s="348"/>
      <c r="AL182" s="348"/>
      <c r="AM182" s="348"/>
      <c r="AN182" s="348"/>
      <c r="AO182" s="348"/>
      <c r="AP182" s="348"/>
      <c r="AQ182" s="348"/>
      <c r="AR182" s="348"/>
      <c r="AS182" s="348"/>
      <c r="AT182" s="348"/>
      <c r="AV182" s="526"/>
      <c r="AW182" s="534"/>
      <c r="AX182" s="534"/>
      <c r="AY182" s="9"/>
      <c r="AZ182" s="48"/>
      <c r="BA182" s="348"/>
      <c r="BB182" s="348"/>
      <c r="BC182" s="348"/>
      <c r="BD182" s="348"/>
      <c r="BE182" s="348"/>
    </row>
    <row r="183" spans="8:57" x14ac:dyDescent="0.25">
      <c r="H183" s="531"/>
      <c r="I183" s="4"/>
      <c r="J183" s="4"/>
      <c r="L183" s="4"/>
      <c r="R183" s="348"/>
      <c r="S183" s="348"/>
      <c r="T183" s="348"/>
      <c r="U183" s="348"/>
      <c r="W183" s="348"/>
      <c r="X183" s="348"/>
      <c r="Y183" s="348"/>
      <c r="Z183" s="348"/>
      <c r="AA183" s="525"/>
      <c r="AB183" s="348"/>
      <c r="AC183" s="348"/>
      <c r="AD183" s="348"/>
      <c r="AE183" s="348"/>
      <c r="AG183" s="348"/>
      <c r="AH183" s="348"/>
      <c r="AI183" s="348"/>
      <c r="AJ183" s="348"/>
      <c r="AK183" s="348"/>
      <c r="AL183" s="348"/>
      <c r="AM183" s="348"/>
      <c r="AN183" s="348"/>
      <c r="AO183" s="348"/>
      <c r="AP183" s="348"/>
      <c r="AQ183" s="348"/>
      <c r="AR183" s="348"/>
      <c r="AS183" s="348"/>
      <c r="AT183" s="348"/>
      <c r="AV183" s="526"/>
      <c r="AW183" s="534"/>
      <c r="AX183" s="534"/>
      <c r="AY183" s="9"/>
      <c r="AZ183" s="48"/>
      <c r="BA183" s="348"/>
      <c r="BB183" s="348"/>
      <c r="BC183" s="348"/>
      <c r="BD183" s="348"/>
      <c r="BE183" s="348"/>
    </row>
    <row r="184" spans="8:57" x14ac:dyDescent="0.25">
      <c r="H184" s="531"/>
      <c r="I184" s="4"/>
      <c r="J184" s="4"/>
      <c r="L184" s="4"/>
      <c r="R184" s="348"/>
      <c r="S184" s="348"/>
      <c r="T184" s="348"/>
      <c r="U184" s="348"/>
      <c r="W184" s="348"/>
      <c r="X184" s="348"/>
      <c r="Y184" s="348"/>
      <c r="Z184" s="348"/>
      <c r="AA184" s="525"/>
      <c r="AB184" s="348"/>
      <c r="AC184" s="348"/>
      <c r="AD184" s="348"/>
      <c r="AE184" s="348"/>
      <c r="AG184" s="348"/>
      <c r="AH184" s="348"/>
      <c r="AI184" s="348"/>
      <c r="AJ184" s="348"/>
      <c r="AK184" s="348"/>
      <c r="AL184" s="348"/>
      <c r="AM184" s="348"/>
      <c r="AN184" s="348"/>
      <c r="AO184" s="348"/>
      <c r="AP184" s="348"/>
      <c r="AQ184" s="348"/>
      <c r="AR184" s="348"/>
      <c r="AS184" s="348"/>
      <c r="AT184" s="348"/>
      <c r="AV184" s="526"/>
      <c r="AW184" s="534"/>
      <c r="AX184" s="534"/>
      <c r="AY184" s="9"/>
      <c r="AZ184" s="48"/>
      <c r="BA184" s="348"/>
      <c r="BB184" s="348"/>
      <c r="BC184" s="348"/>
      <c r="BD184" s="348"/>
      <c r="BE184" s="348"/>
    </row>
    <row r="185" spans="8:57" x14ac:dyDescent="0.25">
      <c r="H185" s="531"/>
      <c r="I185" s="4"/>
      <c r="J185" s="4"/>
      <c r="L185" s="4"/>
      <c r="R185" s="348"/>
      <c r="S185" s="348"/>
      <c r="T185" s="348"/>
      <c r="U185" s="348"/>
      <c r="W185" s="348"/>
      <c r="X185" s="348"/>
      <c r="Y185" s="348"/>
      <c r="Z185" s="348"/>
      <c r="AA185" s="525"/>
      <c r="AB185" s="348"/>
      <c r="AC185" s="348"/>
      <c r="AD185" s="348"/>
      <c r="AE185" s="348"/>
      <c r="AG185" s="348"/>
      <c r="AH185" s="348"/>
      <c r="AI185" s="348"/>
      <c r="AJ185" s="348"/>
      <c r="AK185" s="348"/>
      <c r="AL185" s="348"/>
      <c r="AM185" s="348"/>
      <c r="AN185" s="348"/>
      <c r="AO185" s="348"/>
      <c r="AP185" s="348"/>
      <c r="AQ185" s="348"/>
      <c r="AR185" s="348"/>
      <c r="AS185" s="348"/>
      <c r="AT185" s="348"/>
      <c r="AV185" s="526"/>
      <c r="AW185" s="534"/>
      <c r="AX185" s="534"/>
      <c r="AY185" s="9"/>
      <c r="AZ185" s="48"/>
      <c r="BA185" s="348"/>
      <c r="BB185" s="348"/>
      <c r="BC185" s="348"/>
      <c r="BD185" s="348"/>
      <c r="BE185" s="348"/>
    </row>
    <row r="186" spans="8:57" x14ac:dyDescent="0.25">
      <c r="H186" s="531"/>
      <c r="I186" s="4"/>
      <c r="J186" s="4"/>
      <c r="L186" s="4"/>
      <c r="R186" s="348"/>
      <c r="S186" s="348"/>
      <c r="T186" s="348"/>
      <c r="U186" s="348"/>
      <c r="W186" s="348"/>
      <c r="X186" s="348"/>
      <c r="Y186" s="348"/>
      <c r="Z186" s="348"/>
      <c r="AA186" s="525"/>
      <c r="AB186" s="348"/>
      <c r="AC186" s="348"/>
      <c r="AD186" s="348"/>
      <c r="AE186" s="348"/>
      <c r="AG186" s="348"/>
      <c r="AH186" s="348"/>
      <c r="AI186" s="348"/>
      <c r="AJ186" s="348"/>
      <c r="AK186" s="348"/>
      <c r="AL186" s="348"/>
      <c r="AM186" s="348"/>
      <c r="AN186" s="348"/>
      <c r="AO186" s="348"/>
      <c r="AP186" s="348"/>
      <c r="AQ186" s="348"/>
      <c r="AR186" s="348"/>
      <c r="AS186" s="348"/>
      <c r="AT186" s="348"/>
      <c r="AV186" s="526"/>
      <c r="AW186" s="534"/>
      <c r="AX186" s="534"/>
      <c r="AY186" s="9"/>
      <c r="AZ186" s="48"/>
      <c r="BA186" s="348"/>
      <c r="BB186" s="348"/>
      <c r="BC186" s="348"/>
      <c r="BD186" s="348"/>
      <c r="BE186" s="348"/>
    </row>
    <row r="187" spans="8:57" x14ac:dyDescent="0.25">
      <c r="H187" s="531"/>
      <c r="I187" s="4"/>
      <c r="J187" s="4"/>
      <c r="L187" s="4"/>
      <c r="R187" s="348"/>
      <c r="S187" s="348"/>
      <c r="T187" s="348"/>
      <c r="U187" s="348"/>
      <c r="W187" s="348"/>
      <c r="X187" s="348"/>
      <c r="Y187" s="348"/>
      <c r="Z187" s="348"/>
      <c r="AA187" s="525"/>
      <c r="AB187" s="348"/>
      <c r="AC187" s="348"/>
      <c r="AD187" s="348"/>
      <c r="AE187" s="348"/>
      <c r="AG187" s="348"/>
      <c r="AH187" s="348"/>
      <c r="AI187" s="348"/>
      <c r="AJ187" s="348"/>
      <c r="AK187" s="348"/>
      <c r="AL187" s="348"/>
      <c r="AM187" s="348"/>
      <c r="AN187" s="348"/>
      <c r="AO187" s="348"/>
      <c r="AP187" s="348"/>
      <c r="AQ187" s="348"/>
      <c r="AR187" s="348"/>
      <c r="AS187" s="348"/>
      <c r="AT187" s="348"/>
      <c r="AV187" s="526"/>
      <c r="AW187" s="534"/>
      <c r="AX187" s="534"/>
      <c r="AY187" s="9"/>
      <c r="AZ187" s="48"/>
      <c r="BA187" s="348"/>
      <c r="BB187" s="348"/>
      <c r="BC187" s="348"/>
      <c r="BD187" s="348"/>
      <c r="BE187" s="348"/>
    </row>
    <row r="188" spans="8:57" x14ac:dyDescent="0.25">
      <c r="H188" s="531"/>
      <c r="I188" s="4"/>
      <c r="J188" s="4"/>
      <c r="L188" s="4"/>
      <c r="R188" s="348"/>
      <c r="S188" s="348"/>
      <c r="T188" s="348"/>
      <c r="U188" s="348"/>
      <c r="W188" s="348"/>
      <c r="X188" s="348"/>
      <c r="Y188" s="348"/>
      <c r="Z188" s="348"/>
      <c r="AA188" s="525"/>
      <c r="AB188" s="348"/>
      <c r="AC188" s="348"/>
      <c r="AD188" s="348"/>
      <c r="AE188" s="348"/>
      <c r="AG188" s="348"/>
      <c r="AH188" s="348"/>
      <c r="AI188" s="348"/>
      <c r="AJ188" s="348"/>
      <c r="AK188" s="348"/>
      <c r="AL188" s="348"/>
      <c r="AM188" s="348"/>
      <c r="AN188" s="348"/>
      <c r="AO188" s="348"/>
      <c r="AP188" s="348"/>
      <c r="AQ188" s="348"/>
      <c r="AR188" s="348"/>
      <c r="AS188" s="348"/>
      <c r="AT188" s="348"/>
      <c r="AV188" s="526"/>
      <c r="AW188" s="534"/>
      <c r="AX188" s="534"/>
      <c r="AY188" s="9"/>
      <c r="AZ188" s="48"/>
      <c r="BA188" s="348"/>
      <c r="BB188" s="348"/>
      <c r="BC188" s="348"/>
      <c r="BD188" s="348"/>
      <c r="BE188" s="348"/>
    </row>
    <row r="189" spans="8:57" x14ac:dyDescent="0.25">
      <c r="H189" s="531"/>
      <c r="I189" s="4"/>
      <c r="J189" s="4"/>
      <c r="L189" s="4"/>
      <c r="R189" s="348"/>
      <c r="S189" s="348"/>
      <c r="T189" s="348"/>
      <c r="U189" s="348"/>
      <c r="W189" s="348"/>
      <c r="X189" s="348"/>
      <c r="Y189" s="348"/>
      <c r="Z189" s="348"/>
      <c r="AA189" s="525"/>
      <c r="AB189" s="348"/>
      <c r="AC189" s="348"/>
      <c r="AD189" s="348"/>
      <c r="AE189" s="348"/>
      <c r="AG189" s="348"/>
      <c r="AH189" s="348"/>
      <c r="AI189" s="348"/>
      <c r="AJ189" s="348"/>
      <c r="AK189" s="348"/>
      <c r="AL189" s="348"/>
      <c r="AM189" s="348"/>
      <c r="AN189" s="348"/>
      <c r="AO189" s="348"/>
      <c r="AP189" s="348"/>
      <c r="AQ189" s="348"/>
      <c r="AR189" s="348"/>
      <c r="AS189" s="348"/>
      <c r="AT189" s="348"/>
      <c r="AV189" s="526"/>
      <c r="AW189" s="534"/>
      <c r="AX189" s="534"/>
      <c r="AY189" s="9"/>
      <c r="AZ189" s="48"/>
      <c r="BA189" s="348"/>
      <c r="BB189" s="348"/>
      <c r="BC189" s="348"/>
      <c r="BD189" s="348"/>
      <c r="BE189" s="348"/>
    </row>
    <row r="190" spans="8:57" x14ac:dyDescent="0.25">
      <c r="H190" s="531"/>
      <c r="I190" s="4"/>
      <c r="J190" s="4"/>
      <c r="L190" s="4"/>
      <c r="R190" s="348"/>
      <c r="S190" s="348"/>
      <c r="T190" s="348"/>
      <c r="U190" s="348"/>
      <c r="W190" s="348"/>
      <c r="X190" s="348"/>
      <c r="Y190" s="348"/>
      <c r="Z190" s="348"/>
      <c r="AA190" s="525"/>
      <c r="AB190" s="348"/>
      <c r="AC190" s="348"/>
      <c r="AD190" s="348"/>
      <c r="AE190" s="348"/>
      <c r="AG190" s="348"/>
      <c r="AH190" s="348"/>
      <c r="AI190" s="348"/>
      <c r="AJ190" s="348"/>
      <c r="AK190" s="348"/>
      <c r="AL190" s="348"/>
      <c r="AM190" s="348"/>
      <c r="AN190" s="348"/>
      <c r="AO190" s="348"/>
      <c r="AP190" s="348"/>
      <c r="AQ190" s="348"/>
      <c r="AR190" s="348"/>
      <c r="AS190" s="348"/>
      <c r="AT190" s="348"/>
      <c r="AV190" s="526"/>
      <c r="AW190" s="534"/>
      <c r="AX190" s="534"/>
      <c r="AY190" s="9"/>
      <c r="AZ190" s="48"/>
      <c r="BA190" s="348"/>
      <c r="BB190" s="348"/>
      <c r="BC190" s="348"/>
      <c r="BD190" s="348"/>
      <c r="BE190" s="348"/>
    </row>
    <row r="191" spans="8:57" x14ac:dyDescent="0.25">
      <c r="H191" s="531"/>
      <c r="I191" s="4"/>
      <c r="J191" s="4"/>
      <c r="L191" s="4"/>
      <c r="R191" s="348"/>
      <c r="S191" s="348"/>
      <c r="T191" s="348"/>
      <c r="U191" s="348"/>
      <c r="W191" s="348"/>
      <c r="X191" s="348"/>
      <c r="Y191" s="348"/>
      <c r="Z191" s="348"/>
      <c r="AA191" s="525"/>
      <c r="AB191" s="348"/>
      <c r="AC191" s="348"/>
      <c r="AD191" s="348"/>
      <c r="AE191" s="348"/>
      <c r="AG191" s="348"/>
      <c r="AH191" s="348"/>
      <c r="AI191" s="348"/>
      <c r="AJ191" s="348"/>
      <c r="AK191" s="348"/>
      <c r="AL191" s="348"/>
      <c r="AM191" s="348"/>
      <c r="AN191" s="348"/>
      <c r="AO191" s="348"/>
      <c r="AP191" s="348"/>
      <c r="AQ191" s="348"/>
      <c r="AR191" s="348"/>
      <c r="AS191" s="348"/>
      <c r="AT191" s="348"/>
      <c r="AV191" s="526"/>
      <c r="AW191" s="534"/>
      <c r="AX191" s="534"/>
      <c r="AY191" s="9"/>
      <c r="AZ191" s="48"/>
      <c r="BA191" s="348"/>
      <c r="BB191" s="348"/>
      <c r="BC191" s="348"/>
      <c r="BD191" s="348"/>
      <c r="BE191" s="348"/>
    </row>
    <row r="192" spans="8:57" x14ac:dyDescent="0.25">
      <c r="H192" s="531"/>
      <c r="I192" s="4"/>
      <c r="J192" s="4"/>
      <c r="L192" s="4"/>
      <c r="R192" s="348"/>
      <c r="S192" s="348"/>
      <c r="T192" s="348"/>
      <c r="U192" s="348"/>
      <c r="W192" s="348"/>
      <c r="X192" s="348"/>
      <c r="Y192" s="348"/>
      <c r="Z192" s="348"/>
      <c r="AA192" s="525"/>
      <c r="AB192" s="348"/>
      <c r="AC192" s="348"/>
      <c r="AD192" s="348"/>
      <c r="AE192" s="348"/>
      <c r="AG192" s="348"/>
      <c r="AH192" s="348"/>
      <c r="AI192" s="348"/>
      <c r="AJ192" s="348"/>
      <c r="AK192" s="348"/>
      <c r="AL192" s="348"/>
      <c r="AM192" s="348"/>
      <c r="AN192" s="348"/>
      <c r="AO192" s="348"/>
      <c r="AP192" s="348"/>
      <c r="AQ192" s="348"/>
      <c r="AR192" s="348"/>
      <c r="AS192" s="348"/>
      <c r="AT192" s="348"/>
      <c r="AV192" s="526"/>
      <c r="AW192" s="534"/>
      <c r="AX192" s="534"/>
      <c r="AY192" s="9"/>
      <c r="AZ192" s="48"/>
      <c r="BA192" s="348"/>
      <c r="BB192" s="348"/>
      <c r="BC192" s="348"/>
      <c r="BD192" s="348"/>
      <c r="BE192" s="348"/>
    </row>
    <row r="193" spans="8:57" x14ac:dyDescent="0.25">
      <c r="H193" s="531"/>
      <c r="I193" s="4"/>
      <c r="J193" s="4"/>
      <c r="L193" s="4"/>
      <c r="R193" s="348"/>
      <c r="S193" s="348"/>
      <c r="T193" s="348"/>
      <c r="U193" s="348"/>
      <c r="W193" s="348"/>
      <c r="X193" s="348"/>
      <c r="Y193" s="348"/>
      <c r="Z193" s="348"/>
      <c r="AA193" s="525"/>
      <c r="AB193" s="348"/>
      <c r="AC193" s="348"/>
      <c r="AD193" s="348"/>
      <c r="AE193" s="348"/>
      <c r="AG193" s="348"/>
      <c r="AH193" s="348"/>
      <c r="AI193" s="348"/>
      <c r="AJ193" s="348"/>
      <c r="AK193" s="348"/>
      <c r="AL193" s="348"/>
      <c r="AM193" s="348"/>
      <c r="AN193" s="348"/>
      <c r="AO193" s="348"/>
      <c r="AP193" s="348"/>
      <c r="AQ193" s="348"/>
      <c r="AR193" s="348"/>
      <c r="AS193" s="348"/>
      <c r="AT193" s="348"/>
      <c r="AV193" s="526"/>
      <c r="AW193" s="534"/>
      <c r="AX193" s="534"/>
      <c r="AY193" s="9"/>
      <c r="AZ193" s="48"/>
      <c r="BA193" s="348"/>
      <c r="BB193" s="348"/>
      <c r="BC193" s="348"/>
      <c r="BD193" s="348"/>
      <c r="BE193" s="348"/>
    </row>
    <row r="194" spans="8:57" x14ac:dyDescent="0.25">
      <c r="H194" s="531"/>
      <c r="I194" s="4"/>
      <c r="J194" s="4"/>
      <c r="L194" s="4"/>
      <c r="R194" s="348"/>
      <c r="S194" s="348"/>
      <c r="T194" s="348"/>
      <c r="U194" s="348"/>
      <c r="W194" s="348"/>
      <c r="X194" s="348"/>
      <c r="Y194" s="348"/>
      <c r="Z194" s="348"/>
      <c r="AA194" s="525"/>
      <c r="AB194" s="348"/>
      <c r="AC194" s="348"/>
      <c r="AD194" s="348"/>
      <c r="AE194" s="348"/>
      <c r="AG194" s="348"/>
      <c r="AH194" s="348"/>
      <c r="AI194" s="348"/>
      <c r="AJ194" s="348"/>
      <c r="AK194" s="348"/>
      <c r="AL194" s="348"/>
      <c r="AM194" s="348"/>
      <c r="AN194" s="348"/>
      <c r="AO194" s="348"/>
      <c r="AP194" s="348"/>
      <c r="AQ194" s="348"/>
      <c r="AR194" s="348"/>
      <c r="AS194" s="348"/>
      <c r="AT194" s="348"/>
      <c r="AV194" s="526"/>
      <c r="AW194" s="534"/>
      <c r="AX194" s="534"/>
      <c r="AY194" s="9"/>
      <c r="AZ194" s="48"/>
      <c r="BA194" s="348"/>
      <c r="BB194" s="348"/>
      <c r="BC194" s="348"/>
      <c r="BD194" s="348"/>
      <c r="BE194" s="348"/>
    </row>
    <row r="195" spans="8:57" x14ac:dyDescent="0.25">
      <c r="H195" s="531"/>
      <c r="I195" s="4"/>
      <c r="J195" s="4"/>
      <c r="L195" s="4"/>
      <c r="R195" s="348"/>
      <c r="S195" s="348"/>
      <c r="T195" s="348"/>
      <c r="U195" s="348"/>
      <c r="W195" s="348"/>
      <c r="X195" s="348"/>
      <c r="Y195" s="348"/>
      <c r="Z195" s="348"/>
      <c r="AA195" s="525"/>
      <c r="AB195" s="348"/>
      <c r="AC195" s="348"/>
      <c r="AD195" s="348"/>
      <c r="AE195" s="348"/>
      <c r="AG195" s="348"/>
      <c r="AH195" s="348"/>
      <c r="AI195" s="348"/>
      <c r="AJ195" s="348"/>
      <c r="AK195" s="348"/>
      <c r="AL195" s="348"/>
      <c r="AM195" s="348"/>
      <c r="AN195" s="348"/>
      <c r="AO195" s="348"/>
      <c r="AP195" s="348"/>
      <c r="AQ195" s="348"/>
      <c r="AR195" s="348"/>
      <c r="AS195" s="348"/>
      <c r="AT195" s="348"/>
      <c r="AV195" s="526"/>
      <c r="AW195" s="534"/>
      <c r="AX195" s="534"/>
      <c r="AY195" s="9"/>
      <c r="AZ195" s="48"/>
      <c r="BA195" s="348"/>
      <c r="BB195" s="348"/>
      <c r="BC195" s="348"/>
      <c r="BD195" s="348"/>
      <c r="BE195" s="348"/>
    </row>
    <row r="196" spans="8:57" x14ac:dyDescent="0.25">
      <c r="H196" s="531"/>
      <c r="I196" s="4"/>
      <c r="J196" s="4"/>
      <c r="L196" s="4"/>
      <c r="R196" s="348"/>
      <c r="S196" s="348"/>
      <c r="T196" s="348"/>
      <c r="U196" s="348"/>
      <c r="W196" s="348"/>
      <c r="X196" s="348"/>
      <c r="Y196" s="348"/>
      <c r="Z196" s="348"/>
      <c r="AA196" s="525"/>
      <c r="AB196" s="348"/>
      <c r="AC196" s="348"/>
      <c r="AD196" s="348"/>
      <c r="AE196" s="348"/>
      <c r="AG196" s="348"/>
      <c r="AH196" s="348"/>
      <c r="AI196" s="348"/>
      <c r="AJ196" s="348"/>
      <c r="AK196" s="348"/>
      <c r="AL196" s="348"/>
      <c r="AM196" s="348"/>
      <c r="AN196" s="348"/>
      <c r="AO196" s="348"/>
      <c r="AP196" s="348"/>
      <c r="AQ196" s="348"/>
      <c r="AR196" s="348"/>
      <c r="AS196" s="348"/>
      <c r="AT196" s="348"/>
      <c r="AV196" s="526"/>
      <c r="AW196" s="534"/>
      <c r="AX196" s="534"/>
      <c r="AY196" s="9"/>
      <c r="AZ196" s="48"/>
      <c r="BA196" s="348"/>
      <c r="BB196" s="348"/>
      <c r="BC196" s="348"/>
      <c r="BD196" s="348"/>
      <c r="BE196" s="348"/>
    </row>
    <row r="197" spans="8:57" x14ac:dyDescent="0.25">
      <c r="H197" s="531"/>
      <c r="I197" s="4"/>
      <c r="J197" s="4"/>
      <c r="L197" s="4"/>
      <c r="R197" s="348"/>
      <c r="S197" s="348"/>
      <c r="T197" s="348"/>
      <c r="U197" s="348"/>
      <c r="W197" s="348"/>
      <c r="X197" s="348"/>
      <c r="Y197" s="348"/>
      <c r="Z197" s="348"/>
      <c r="AA197" s="525"/>
      <c r="AB197" s="348"/>
      <c r="AC197" s="348"/>
      <c r="AD197" s="348"/>
      <c r="AE197" s="348"/>
      <c r="AG197" s="348"/>
      <c r="AH197" s="348"/>
      <c r="AI197" s="348"/>
      <c r="AJ197" s="348"/>
      <c r="AK197" s="348"/>
      <c r="AL197" s="348"/>
      <c r="AM197" s="348"/>
      <c r="AN197" s="348"/>
      <c r="AO197" s="348"/>
      <c r="AP197" s="348"/>
      <c r="AQ197" s="348"/>
      <c r="AR197" s="348"/>
      <c r="AS197" s="348"/>
      <c r="AT197" s="348"/>
      <c r="AV197" s="526"/>
      <c r="AW197" s="534"/>
      <c r="AX197" s="534"/>
      <c r="AY197" s="9"/>
      <c r="AZ197" s="48"/>
      <c r="BA197" s="348"/>
      <c r="BB197" s="348"/>
      <c r="BC197" s="348"/>
      <c r="BD197" s="348"/>
      <c r="BE197" s="348"/>
    </row>
    <row r="198" spans="8:57" x14ac:dyDescent="0.25">
      <c r="H198" s="531"/>
      <c r="I198" s="4"/>
      <c r="J198" s="4"/>
      <c r="L198" s="4"/>
      <c r="R198" s="348"/>
      <c r="S198" s="348"/>
      <c r="T198" s="348"/>
      <c r="U198" s="348"/>
      <c r="W198" s="348"/>
      <c r="X198" s="348"/>
      <c r="Y198" s="348"/>
      <c r="Z198" s="348"/>
      <c r="AA198" s="525"/>
      <c r="AB198" s="348"/>
      <c r="AC198" s="348"/>
      <c r="AD198" s="348"/>
      <c r="AE198" s="348"/>
      <c r="AG198" s="348"/>
      <c r="AH198" s="348"/>
      <c r="AI198" s="348"/>
      <c r="AJ198" s="348"/>
      <c r="AK198" s="348"/>
      <c r="AL198" s="348"/>
      <c r="AM198" s="348"/>
      <c r="AN198" s="348"/>
      <c r="AO198" s="348"/>
      <c r="AP198" s="348"/>
      <c r="AQ198" s="348"/>
      <c r="AR198" s="348"/>
      <c r="AS198" s="348"/>
      <c r="AT198" s="348"/>
      <c r="AV198" s="526"/>
      <c r="AW198" s="534"/>
      <c r="AX198" s="534"/>
      <c r="AY198" s="9"/>
      <c r="AZ198" s="48"/>
      <c r="BA198" s="348"/>
      <c r="BB198" s="348"/>
      <c r="BC198" s="348"/>
      <c r="BD198" s="348"/>
      <c r="BE198" s="348"/>
    </row>
    <row r="199" spans="8:57" x14ac:dyDescent="0.25">
      <c r="H199" s="531"/>
      <c r="I199" s="4"/>
      <c r="J199" s="4"/>
      <c r="L199" s="4"/>
      <c r="R199" s="348"/>
      <c r="S199" s="348"/>
      <c r="T199" s="348"/>
      <c r="U199" s="348"/>
      <c r="W199" s="348"/>
      <c r="X199" s="348"/>
      <c r="Y199" s="348"/>
      <c r="Z199" s="348"/>
      <c r="AA199" s="525"/>
      <c r="AB199" s="348"/>
      <c r="AC199" s="348"/>
      <c r="AD199" s="348"/>
      <c r="AE199" s="348"/>
      <c r="AG199" s="348"/>
      <c r="AH199" s="348"/>
      <c r="AI199" s="348"/>
      <c r="AJ199" s="348"/>
      <c r="AK199" s="348"/>
      <c r="AL199" s="348"/>
      <c r="AM199" s="348"/>
      <c r="AN199" s="348"/>
      <c r="AO199" s="348"/>
      <c r="AP199" s="348"/>
      <c r="AQ199" s="348"/>
      <c r="AR199" s="348"/>
      <c r="AS199" s="348"/>
      <c r="AT199" s="348"/>
      <c r="AV199" s="526"/>
      <c r="AW199" s="534"/>
      <c r="AX199" s="534"/>
      <c r="AY199" s="9"/>
      <c r="AZ199" s="48"/>
      <c r="BA199" s="348"/>
      <c r="BB199" s="348"/>
      <c r="BC199" s="348"/>
      <c r="BD199" s="348"/>
      <c r="BE199" s="348"/>
    </row>
    <row r="200" spans="8:57" x14ac:dyDescent="0.25">
      <c r="H200" s="531"/>
      <c r="I200" s="4"/>
      <c r="J200" s="4"/>
      <c r="L200" s="4"/>
      <c r="R200" s="348"/>
      <c r="S200" s="348"/>
      <c r="T200" s="348"/>
      <c r="U200" s="348"/>
      <c r="W200" s="348"/>
      <c r="X200" s="348"/>
      <c r="Y200" s="348"/>
      <c r="Z200" s="348"/>
      <c r="AA200" s="525"/>
      <c r="AB200" s="348"/>
      <c r="AC200" s="348"/>
      <c r="AD200" s="348"/>
      <c r="AE200" s="348"/>
      <c r="AG200" s="348"/>
      <c r="AH200" s="348"/>
      <c r="AI200" s="348"/>
      <c r="AJ200" s="348"/>
      <c r="AK200" s="348"/>
      <c r="AL200" s="348"/>
      <c r="AM200" s="348"/>
      <c r="AN200" s="348"/>
      <c r="AO200" s="348"/>
      <c r="AP200" s="348"/>
      <c r="AQ200" s="348"/>
      <c r="AR200" s="348"/>
      <c r="AS200" s="348"/>
      <c r="AT200" s="348"/>
      <c r="AV200" s="526"/>
      <c r="AW200" s="534"/>
      <c r="AX200" s="534"/>
      <c r="AY200" s="9"/>
      <c r="AZ200" s="48"/>
      <c r="BA200" s="348"/>
      <c r="BB200" s="348"/>
      <c r="BC200" s="348"/>
      <c r="BD200" s="348"/>
      <c r="BE200" s="348"/>
    </row>
    <row r="201" spans="8:57" x14ac:dyDescent="0.25">
      <c r="H201" s="531"/>
      <c r="I201" s="4"/>
      <c r="J201" s="4"/>
      <c r="L201" s="4"/>
      <c r="R201" s="348"/>
      <c r="S201" s="348"/>
      <c r="T201" s="348"/>
      <c r="U201" s="348"/>
      <c r="W201" s="348"/>
      <c r="X201" s="348"/>
      <c r="Y201" s="348"/>
      <c r="Z201" s="348"/>
      <c r="AA201" s="525"/>
      <c r="AB201" s="348"/>
      <c r="AC201" s="348"/>
      <c r="AD201" s="348"/>
      <c r="AE201" s="348"/>
      <c r="AG201" s="348"/>
      <c r="AH201" s="348"/>
      <c r="AI201" s="348"/>
      <c r="AJ201" s="348"/>
      <c r="AK201" s="348"/>
      <c r="AL201" s="348"/>
      <c r="AM201" s="348"/>
      <c r="AN201" s="348"/>
      <c r="AO201" s="348"/>
      <c r="AP201" s="348"/>
      <c r="AQ201" s="348"/>
      <c r="AR201" s="348"/>
      <c r="AS201" s="348"/>
      <c r="AT201" s="348"/>
      <c r="AV201" s="526"/>
      <c r="AW201" s="534"/>
      <c r="AX201" s="534"/>
      <c r="AY201" s="9"/>
      <c r="AZ201" s="48"/>
      <c r="BA201" s="348"/>
      <c r="BB201" s="348"/>
      <c r="BC201" s="348"/>
      <c r="BD201" s="348"/>
      <c r="BE201" s="348"/>
    </row>
    <row r="202" spans="8:57" x14ac:dyDescent="0.25">
      <c r="H202" s="531"/>
      <c r="I202" s="4"/>
      <c r="J202" s="4"/>
      <c r="L202" s="4"/>
      <c r="R202" s="348"/>
      <c r="S202" s="348"/>
      <c r="T202" s="348"/>
      <c r="U202" s="348"/>
      <c r="W202" s="348"/>
      <c r="X202" s="348"/>
      <c r="Y202" s="348"/>
      <c r="Z202" s="348"/>
      <c r="AA202" s="525"/>
      <c r="AB202" s="348"/>
      <c r="AC202" s="348"/>
      <c r="AD202" s="348"/>
      <c r="AE202" s="348"/>
      <c r="AG202" s="348"/>
      <c r="AH202" s="348"/>
      <c r="AI202" s="348"/>
      <c r="AJ202" s="348"/>
      <c r="AK202" s="348"/>
      <c r="AL202" s="348"/>
      <c r="AM202" s="348"/>
      <c r="AN202" s="348"/>
      <c r="AO202" s="348"/>
      <c r="AP202" s="348"/>
      <c r="AQ202" s="348"/>
      <c r="AR202" s="348"/>
      <c r="AS202" s="348"/>
      <c r="AT202" s="348"/>
      <c r="AV202" s="526"/>
      <c r="AW202" s="534"/>
      <c r="AX202" s="534"/>
      <c r="AY202" s="9"/>
      <c r="AZ202" s="48"/>
      <c r="BA202" s="348"/>
      <c r="BB202" s="348"/>
      <c r="BC202" s="348"/>
      <c r="BD202" s="348"/>
      <c r="BE202" s="348"/>
    </row>
    <row r="203" spans="8:57" x14ac:dyDescent="0.25">
      <c r="H203" s="531"/>
      <c r="I203" s="4"/>
      <c r="J203" s="4"/>
      <c r="L203" s="4"/>
      <c r="R203" s="348"/>
      <c r="S203" s="348"/>
      <c r="T203" s="348"/>
      <c r="U203" s="348"/>
      <c r="W203" s="348"/>
      <c r="X203" s="348"/>
      <c r="Y203" s="348"/>
      <c r="Z203" s="348"/>
      <c r="AA203" s="525"/>
      <c r="AB203" s="348"/>
      <c r="AC203" s="348"/>
      <c r="AD203" s="348"/>
      <c r="AE203" s="348"/>
      <c r="AG203" s="348"/>
      <c r="AH203" s="348"/>
      <c r="AI203" s="348"/>
      <c r="AJ203" s="348"/>
      <c r="AK203" s="348"/>
      <c r="AL203" s="348"/>
      <c r="AM203" s="348"/>
      <c r="AN203" s="348"/>
      <c r="AO203" s="348"/>
      <c r="AP203" s="348"/>
      <c r="AQ203" s="348"/>
      <c r="AR203" s="348"/>
      <c r="AS203" s="348"/>
      <c r="AT203" s="348"/>
      <c r="AV203" s="526"/>
      <c r="AW203" s="534"/>
      <c r="AX203" s="534"/>
      <c r="AY203" s="9"/>
      <c r="AZ203" s="48"/>
      <c r="BA203" s="348"/>
      <c r="BB203" s="348"/>
      <c r="BC203" s="348"/>
      <c r="BD203" s="348"/>
      <c r="BE203" s="348"/>
    </row>
    <row r="204" spans="8:57" x14ac:dyDescent="0.25">
      <c r="H204" s="531"/>
      <c r="I204" s="4"/>
      <c r="J204" s="4"/>
      <c r="L204" s="4"/>
      <c r="R204" s="348"/>
      <c r="S204" s="348"/>
      <c r="T204" s="348"/>
      <c r="U204" s="348"/>
      <c r="W204" s="348"/>
      <c r="X204" s="348"/>
      <c r="Y204" s="348"/>
      <c r="Z204" s="348"/>
      <c r="AA204" s="525"/>
      <c r="AB204" s="348"/>
      <c r="AC204" s="348"/>
      <c r="AD204" s="348"/>
      <c r="AE204" s="348"/>
      <c r="AG204" s="348"/>
      <c r="AH204" s="348"/>
      <c r="AI204" s="348"/>
      <c r="AJ204" s="348"/>
      <c r="AK204" s="348"/>
      <c r="AL204" s="348"/>
      <c r="AM204" s="348"/>
      <c r="AN204" s="348"/>
      <c r="AO204" s="348"/>
      <c r="AP204" s="348"/>
      <c r="AQ204" s="348"/>
      <c r="AR204" s="348"/>
      <c r="AS204" s="348"/>
      <c r="AT204" s="348"/>
      <c r="AV204" s="526"/>
      <c r="AW204" s="534"/>
      <c r="AX204" s="534"/>
      <c r="AY204" s="9"/>
      <c r="AZ204" s="48"/>
      <c r="BA204" s="348"/>
      <c r="BB204" s="348"/>
      <c r="BC204" s="348"/>
      <c r="BD204" s="348"/>
      <c r="BE204" s="348"/>
    </row>
    <row r="205" spans="8:57" x14ac:dyDescent="0.25">
      <c r="H205" s="531"/>
      <c r="I205" s="4"/>
      <c r="J205" s="4"/>
      <c r="L205" s="4"/>
      <c r="R205" s="348"/>
      <c r="S205" s="348"/>
      <c r="T205" s="348"/>
      <c r="U205" s="348"/>
      <c r="W205" s="348"/>
      <c r="X205" s="348"/>
      <c r="Y205" s="348"/>
      <c r="Z205" s="348"/>
      <c r="AA205" s="525"/>
      <c r="AB205" s="348"/>
      <c r="AC205" s="348"/>
      <c r="AD205" s="348"/>
      <c r="AE205" s="348"/>
      <c r="AG205" s="348"/>
      <c r="AH205" s="348"/>
      <c r="AI205" s="348"/>
      <c r="AJ205" s="348"/>
      <c r="AK205" s="348"/>
      <c r="AL205" s="348"/>
      <c r="AM205" s="348"/>
      <c r="AN205" s="348"/>
      <c r="AO205" s="348"/>
      <c r="AP205" s="348"/>
      <c r="AQ205" s="348"/>
      <c r="AR205" s="348"/>
      <c r="AS205" s="348"/>
      <c r="AT205" s="348"/>
      <c r="AV205" s="526"/>
      <c r="AW205" s="534"/>
      <c r="AX205" s="534"/>
      <c r="AY205" s="9"/>
      <c r="AZ205" s="48"/>
      <c r="BA205" s="348"/>
      <c r="BB205" s="348"/>
      <c r="BC205" s="348"/>
      <c r="BD205" s="348"/>
      <c r="BE205" s="348"/>
    </row>
    <row r="206" spans="8:57" x14ac:dyDescent="0.25">
      <c r="H206" s="531"/>
      <c r="I206" s="4"/>
      <c r="J206" s="4"/>
      <c r="L206" s="4"/>
      <c r="R206" s="348"/>
      <c r="S206" s="348"/>
      <c r="T206" s="348"/>
      <c r="U206" s="348"/>
      <c r="W206" s="348"/>
      <c r="X206" s="348"/>
      <c r="Y206" s="348"/>
      <c r="Z206" s="348"/>
      <c r="AA206" s="525"/>
      <c r="AB206" s="348"/>
      <c r="AC206" s="348"/>
      <c r="AD206" s="348"/>
      <c r="AE206" s="348"/>
      <c r="AG206" s="348"/>
      <c r="AH206" s="348"/>
      <c r="AI206" s="348"/>
      <c r="AJ206" s="348"/>
      <c r="AK206" s="348"/>
      <c r="AL206" s="348"/>
      <c r="AM206" s="348"/>
      <c r="AN206" s="348"/>
      <c r="AO206" s="348"/>
      <c r="AP206" s="348"/>
      <c r="AQ206" s="348"/>
      <c r="AR206" s="348"/>
      <c r="AS206" s="348"/>
      <c r="AT206" s="348"/>
      <c r="AV206" s="526"/>
      <c r="AW206" s="534"/>
      <c r="AX206" s="534"/>
      <c r="AY206" s="9"/>
      <c r="AZ206" s="48"/>
      <c r="BA206" s="348"/>
      <c r="BB206" s="348"/>
      <c r="BC206" s="348"/>
      <c r="BD206" s="348"/>
      <c r="BE206" s="348"/>
    </row>
    <row r="207" spans="8:57" x14ac:dyDescent="0.25">
      <c r="H207" s="531"/>
      <c r="I207" s="4"/>
      <c r="J207" s="4"/>
      <c r="L207" s="4"/>
      <c r="R207" s="348"/>
      <c r="S207" s="348"/>
      <c r="T207" s="348"/>
      <c r="U207" s="348"/>
      <c r="W207" s="348"/>
      <c r="X207" s="348"/>
      <c r="Y207" s="348"/>
      <c r="Z207" s="348"/>
      <c r="AA207" s="525"/>
      <c r="AB207" s="348"/>
      <c r="AC207" s="348"/>
      <c r="AD207" s="348"/>
      <c r="AE207" s="348"/>
      <c r="AG207" s="348"/>
      <c r="AH207" s="348"/>
      <c r="AI207" s="348"/>
      <c r="AJ207" s="348"/>
      <c r="AK207" s="348"/>
      <c r="AL207" s="348"/>
      <c r="AM207" s="348"/>
      <c r="AN207" s="348"/>
      <c r="AO207" s="348"/>
      <c r="AP207" s="348"/>
      <c r="AQ207" s="348"/>
      <c r="AR207" s="348"/>
      <c r="AS207" s="348"/>
      <c r="AT207" s="348"/>
      <c r="AV207" s="526"/>
      <c r="AW207" s="534"/>
      <c r="AX207" s="534"/>
      <c r="AY207" s="9"/>
      <c r="AZ207" s="48"/>
      <c r="BA207" s="348"/>
      <c r="BB207" s="348"/>
      <c r="BC207" s="348"/>
      <c r="BD207" s="348"/>
      <c r="BE207" s="348"/>
    </row>
    <row r="208" spans="8:57" x14ac:dyDescent="0.25">
      <c r="H208" s="531"/>
      <c r="I208" s="4"/>
      <c r="J208" s="4"/>
      <c r="L208" s="4"/>
      <c r="R208" s="348"/>
      <c r="S208" s="348"/>
      <c r="T208" s="348"/>
      <c r="U208" s="348"/>
      <c r="W208" s="348"/>
      <c r="X208" s="348"/>
      <c r="Y208" s="348"/>
      <c r="Z208" s="348"/>
      <c r="AA208" s="525"/>
      <c r="AB208" s="348"/>
      <c r="AC208" s="348"/>
      <c r="AD208" s="348"/>
      <c r="AE208" s="348"/>
      <c r="AG208" s="348"/>
      <c r="AH208" s="348"/>
      <c r="AI208" s="348"/>
      <c r="AJ208" s="348"/>
      <c r="AK208" s="348"/>
      <c r="AL208" s="348"/>
      <c r="AM208" s="348"/>
      <c r="AN208" s="348"/>
      <c r="AO208" s="348"/>
      <c r="AP208" s="348"/>
      <c r="AQ208" s="348"/>
      <c r="AR208" s="348"/>
      <c r="AS208" s="348"/>
      <c r="AT208" s="348"/>
      <c r="AV208" s="526"/>
      <c r="AW208" s="534"/>
      <c r="AX208" s="534"/>
      <c r="AY208" s="9"/>
      <c r="AZ208" s="48"/>
      <c r="BA208" s="348"/>
      <c r="BB208" s="348"/>
      <c r="BC208" s="348"/>
      <c r="BD208" s="348"/>
      <c r="BE208" s="348"/>
    </row>
    <row r="209" spans="8:57" x14ac:dyDescent="0.25">
      <c r="H209" s="531"/>
      <c r="I209" s="4"/>
      <c r="J209" s="4"/>
      <c r="L209" s="4"/>
      <c r="R209" s="348"/>
      <c r="S209" s="348"/>
      <c r="T209" s="348"/>
      <c r="U209" s="348"/>
      <c r="W209" s="348"/>
      <c r="X209" s="348"/>
      <c r="Y209" s="348"/>
      <c r="Z209" s="348"/>
      <c r="AA209" s="525"/>
      <c r="AB209" s="348"/>
      <c r="AC209" s="348"/>
      <c r="AD209" s="348"/>
      <c r="AE209" s="348"/>
      <c r="AG209" s="348"/>
      <c r="AH209" s="348"/>
      <c r="AI209" s="348"/>
      <c r="AJ209" s="348"/>
      <c r="AK209" s="348"/>
      <c r="AL209" s="348"/>
      <c r="AM209" s="348"/>
      <c r="AN209" s="348"/>
      <c r="AO209" s="348"/>
      <c r="AP209" s="348"/>
      <c r="AQ209" s="348"/>
      <c r="AR209" s="348"/>
      <c r="AS209" s="348"/>
      <c r="AT209" s="348"/>
      <c r="AV209" s="526"/>
      <c r="AW209" s="534"/>
      <c r="AX209" s="534"/>
      <c r="AY209" s="9"/>
      <c r="AZ209" s="48"/>
      <c r="BA209" s="348"/>
      <c r="BB209" s="348"/>
      <c r="BC209" s="348"/>
      <c r="BD209" s="348"/>
      <c r="BE209" s="348"/>
    </row>
  </sheetData>
  <sheetProtection selectLockedCells="1"/>
  <mergeCells count="11">
    <mergeCell ref="AZ7:BE7"/>
    <mergeCell ref="AB7:AG7"/>
    <mergeCell ref="AH7:AK7"/>
    <mergeCell ref="AO7:AS7"/>
    <mergeCell ref="AT7:AX7"/>
    <mergeCell ref="Y7:AA7"/>
    <mergeCell ref="A1:D4"/>
    <mergeCell ref="A6:D7"/>
    <mergeCell ref="G7:N7"/>
    <mergeCell ref="R7:U7"/>
    <mergeCell ref="V7:X7"/>
  </mergeCells>
  <pageMargins left="0.75" right="0.75" top="1" bottom="1" header="0.5" footer="0.5"/>
  <pageSetup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2:B7"/>
  <sheetViews>
    <sheetView zoomScaleNormal="100" workbookViewId="0">
      <selection activeCell="B2" sqref="B2"/>
    </sheetView>
  </sheetViews>
  <sheetFormatPr defaultRowHeight="12.5" x14ac:dyDescent="0.25"/>
  <cols>
    <col min="1" max="1" width="10.54296875" customWidth="1"/>
    <col min="2" max="2" width="126" customWidth="1"/>
  </cols>
  <sheetData>
    <row r="2" spans="1:2" x14ac:dyDescent="0.25">
      <c r="A2" t="str">
        <f>IF(PLOT_TYPE=1, "EFF_Ch1", "EFF_Ch2")</f>
        <v>EFF_Ch1</v>
      </c>
    </row>
    <row r="5" spans="1:2" ht="409.5" customHeight="1" x14ac:dyDescent="0.25">
      <c r="B5" s="521"/>
    </row>
    <row r="7" spans="1:2" ht="409.5" customHeight="1" x14ac:dyDescent="0.25">
      <c r="B7" s="521"/>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2:AN113"/>
  <sheetViews>
    <sheetView topLeftCell="K1" zoomScaleNormal="100" workbookViewId="0">
      <selection activeCell="AR24" sqref="AR24"/>
    </sheetView>
  </sheetViews>
  <sheetFormatPr defaultRowHeight="12.5" x14ac:dyDescent="0.25"/>
  <cols>
    <col min="1" max="1" width="16.08984375" style="307" customWidth="1"/>
    <col min="2" max="2" width="15.6328125" style="307" customWidth="1"/>
    <col min="3" max="3" width="16.54296875" customWidth="1"/>
    <col min="4" max="4" width="14.36328125" style="30" customWidth="1"/>
    <col min="5" max="6" width="9.6328125" style="30" customWidth="1"/>
    <col min="7" max="7" width="18.6328125" style="30" customWidth="1"/>
    <col min="8" max="8" width="5.6328125" style="30" customWidth="1"/>
    <col min="9" max="9" width="18.6328125" style="30" bestFit="1" customWidth="1"/>
    <col min="10" max="10" width="17" customWidth="1"/>
    <col min="11" max="11" width="7.6328125" customWidth="1"/>
    <col min="12" max="12" width="12.6328125" customWidth="1"/>
    <col min="13" max="13" width="8.453125" customWidth="1"/>
    <col min="15" max="16" width="9.54296875" style="299" customWidth="1"/>
    <col min="17" max="18" width="12.08984375" style="650" customWidth="1"/>
    <col min="19" max="19" width="11.08984375" style="650" customWidth="1"/>
    <col min="20" max="20" width="12.08984375" style="650" customWidth="1"/>
    <col min="23" max="23" width="12.08984375" bestFit="1" customWidth="1"/>
    <col min="24" max="24" width="12.6328125" bestFit="1" customWidth="1"/>
    <col min="27" max="27" width="12.453125" bestFit="1" customWidth="1"/>
    <col min="28" max="28" width="13.08984375" bestFit="1" customWidth="1"/>
    <col min="31" max="31" width="11" bestFit="1" customWidth="1"/>
    <col min="39" max="39" width="12.453125" bestFit="1" customWidth="1"/>
    <col min="40" max="40" width="13.08984375" bestFit="1" customWidth="1"/>
  </cols>
  <sheetData>
    <row r="2" spans="1:40" x14ac:dyDescent="0.25">
      <c r="A2"/>
      <c r="B2"/>
      <c r="AD2" s="113" t="s">
        <v>884</v>
      </c>
    </row>
    <row r="3" spans="1:40" x14ac:dyDescent="0.25">
      <c r="B3" s="308"/>
      <c r="D3" s="30">
        <f>L_infilter*0.000001</f>
        <v>6.8000000000000005E-7</v>
      </c>
      <c r="L3" s="358" t="s">
        <v>878</v>
      </c>
      <c r="M3" s="30">
        <f>'Input Filters'!O9*0.000001</f>
        <v>6.8000000000000005E-7</v>
      </c>
      <c r="AD3" t="s">
        <v>775</v>
      </c>
      <c r="AE3">
        <f>'Input Filters'!G9*0.000001</f>
        <v>9.9999999999999995E-7</v>
      </c>
    </row>
    <row r="4" spans="1:40" x14ac:dyDescent="0.25">
      <c r="B4" s="308"/>
      <c r="L4" s="358" t="s">
        <v>879</v>
      </c>
      <c r="M4" s="30">
        <f>'Input Filters'!O10*0.000001</f>
        <v>4.6999999999999995E-7</v>
      </c>
      <c r="AD4" t="s">
        <v>827</v>
      </c>
      <c r="AE4">
        <f>'Input Filters'!G10*0.000001</f>
        <v>9.9999999999999995E-7</v>
      </c>
    </row>
    <row r="5" spans="1:40" x14ac:dyDescent="0.25">
      <c r="B5" s="308"/>
      <c r="L5" s="113" t="s">
        <v>880</v>
      </c>
      <c r="M5">
        <f>'Input Filters'!O11*0.000001</f>
        <v>9.9999999999999995E-7</v>
      </c>
      <c r="AD5" t="s">
        <v>815</v>
      </c>
      <c r="AE5">
        <f>'Input Filters'!G11*0.000001</f>
        <v>9.9999999999999995E-7</v>
      </c>
    </row>
    <row r="6" spans="1:40" x14ac:dyDescent="0.25">
      <c r="B6" s="308"/>
      <c r="L6" s="113" t="s">
        <v>881</v>
      </c>
      <c r="M6">
        <f>'Input Filters'!O12</f>
        <v>0.35</v>
      </c>
      <c r="AD6" t="s">
        <v>816</v>
      </c>
      <c r="AE6">
        <f>'Input Filters'!G12</f>
        <v>10</v>
      </c>
    </row>
    <row r="7" spans="1:40" ht="13" thickBot="1" x14ac:dyDescent="0.3">
      <c r="B7" s="383"/>
    </row>
    <row r="8" spans="1:40" x14ac:dyDescent="0.25">
      <c r="B8" s="392"/>
    </row>
    <row r="9" spans="1:40" ht="13" thickBot="1" x14ac:dyDescent="0.3"/>
    <row r="10" spans="1:40" ht="15.5" x14ac:dyDescent="0.35">
      <c r="A10" s="857" t="s">
        <v>437</v>
      </c>
      <c r="B10" s="851" t="s">
        <v>817</v>
      </c>
      <c r="C10" s="663"/>
      <c r="D10" s="664"/>
      <c r="E10" s="664"/>
      <c r="F10" s="664"/>
      <c r="G10" s="664"/>
      <c r="H10" s="664"/>
      <c r="I10" s="663"/>
      <c r="J10" s="663"/>
      <c r="K10" s="663"/>
      <c r="L10" s="663"/>
      <c r="M10" s="663"/>
      <c r="N10" s="663"/>
      <c r="O10" s="665"/>
      <c r="W10" s="113" t="s">
        <v>877</v>
      </c>
      <c r="AA10" s="113" t="s">
        <v>779</v>
      </c>
      <c r="AD10" s="113" t="s">
        <v>883</v>
      </c>
    </row>
    <row r="11" spans="1:40" ht="15.5" x14ac:dyDescent="0.35">
      <c r="A11" s="858"/>
      <c r="B11" s="852"/>
      <c r="C11" s="663"/>
      <c r="D11" s="664"/>
      <c r="E11" s="664"/>
      <c r="F11" s="664"/>
      <c r="G11" s="664"/>
      <c r="H11" s="664"/>
      <c r="I11" s="889" t="s">
        <v>796</v>
      </c>
      <c r="J11" s="889"/>
      <c r="K11" s="666"/>
      <c r="L11" s="889" t="s">
        <v>797</v>
      </c>
      <c r="M11" s="889"/>
      <c r="N11" s="889"/>
      <c r="O11" s="889"/>
      <c r="P11" s="649"/>
      <c r="Q11" s="890" t="s">
        <v>779</v>
      </c>
      <c r="R11" s="890"/>
      <c r="S11" s="890"/>
      <c r="T11" s="890"/>
      <c r="W11" s="113" t="s">
        <v>791</v>
      </c>
      <c r="X11" s="113" t="s">
        <v>792</v>
      </c>
      <c r="AA11" s="113" t="s">
        <v>791</v>
      </c>
      <c r="AB11" s="113" t="s">
        <v>792</v>
      </c>
      <c r="AD11" s="889" t="s">
        <v>796</v>
      </c>
      <c r="AE11" s="889"/>
      <c r="AF11" s="889" t="s">
        <v>797</v>
      </c>
      <c r="AG11" s="889"/>
      <c r="AH11" s="889"/>
      <c r="AI11" s="889"/>
    </row>
    <row r="12" spans="1:40" ht="19" thickBot="1" x14ac:dyDescent="0.5">
      <c r="A12" s="859"/>
      <c r="B12" s="351"/>
      <c r="C12" s="668" t="s">
        <v>788</v>
      </c>
      <c r="D12" s="669" t="s">
        <v>794</v>
      </c>
      <c r="E12" s="669" t="s">
        <v>793</v>
      </c>
      <c r="F12" s="669"/>
      <c r="G12" s="669" t="s">
        <v>795</v>
      </c>
      <c r="H12" s="667"/>
      <c r="I12" s="664"/>
      <c r="J12" s="663"/>
      <c r="K12" s="663"/>
      <c r="L12" s="663"/>
      <c r="M12" s="663"/>
      <c r="N12" s="663"/>
      <c r="O12" s="665"/>
      <c r="Q12" s="397" t="s">
        <v>789</v>
      </c>
      <c r="R12" s="891" t="s">
        <v>790</v>
      </c>
      <c r="S12" s="891"/>
      <c r="T12" s="891"/>
      <c r="AD12" s="664"/>
      <c r="AE12" s="663"/>
      <c r="AF12" s="663"/>
      <c r="AG12" s="663"/>
      <c r="AH12" s="663"/>
      <c r="AI12" s="665"/>
      <c r="AM12" s="113" t="s">
        <v>791</v>
      </c>
      <c r="AN12" s="113" t="s">
        <v>792</v>
      </c>
    </row>
    <row r="13" spans="1:40" x14ac:dyDescent="0.25">
      <c r="A13" s="324">
        <v>1</v>
      </c>
      <c r="B13" s="352">
        <f>A13/1000</f>
        <v>1E-3</v>
      </c>
      <c r="C13" t="str">
        <f t="shared" ref="C13:C44" si="0">COMPLEX(0,2*Pi*A13)</f>
        <v>6.2831853i</v>
      </c>
      <c r="D13" s="30" t="str">
        <f t="shared" ref="D13:D44" si="1">COMPLEX(-POWER(2*Pi*A13,2),0)</f>
        <v>-39.4784175141361</v>
      </c>
      <c r="E13" s="30" t="str">
        <f t="shared" ref="E13:E44" si="2">COMPLEX(0,-POWER(2*Pi*A13,3))</f>
        <v>-248.050212592082i</v>
      </c>
      <c r="G13" s="30" t="e">
        <f t="shared" ref="G13:G44" si="3">IMSUM(IMPRODUCT(C13,Rcomp_AEF*Csen_AEF),Csen_AEF/Ccomp_AEF)</f>
        <v>#VALUE!</v>
      </c>
      <c r="I13" s="30" t="e">
        <f t="shared" ref="I13:I44" si="4">IMPRODUCT((RdampSel*CdampSel+RdampSel*CinjSel),C13)</f>
        <v>#REF!</v>
      </c>
      <c r="J13" t="e">
        <f>IMSUM(1,I13)</f>
        <v>#REF!</v>
      </c>
      <c r="L13" s="30" t="e">
        <f t="shared" ref="L13:L44" si="5">IMPRODUCT(G13,L_infilterStd*RdampSel*CinjSel*CdampSel,E13)</f>
        <v>#VALUE!</v>
      </c>
      <c r="M13" t="e">
        <f t="shared" ref="M13:M44" si="6">IMPRODUCT(G13,L_infilterStd*CinjSel,D13)</f>
        <v>#VALUE!</v>
      </c>
      <c r="N13" t="e">
        <f>J13</f>
        <v>#REF!</v>
      </c>
      <c r="O13" s="299" t="e">
        <f>IMSUM(L13:N13)</f>
        <v>#VALUE!</v>
      </c>
      <c r="P13" s="651">
        <v>0</v>
      </c>
      <c r="Q13" s="397" t="str">
        <f t="shared" ref="Q13:Q44" si="7">IMSUM(IMPRODUCT(C13,RdampPssv*CdampPssv),1)</f>
        <v>1+0.000002199114855i</v>
      </c>
      <c r="R13" s="397" t="str">
        <f t="shared" ref="R13:R44" si="8">IMPRODUCT(RdampPssv*CdampPssv*CfilterPssv*LinfilterPssv,E13)</f>
        <v>-2.77468967805503E-17i</v>
      </c>
      <c r="S13" s="397" t="str">
        <f t="shared" ref="S13:S44" si="9">IMPRODUCT(D13,LinfilterPssv*(CfilterPssv+CdampPssv))</f>
        <v>-3.94626261471304E-11</v>
      </c>
      <c r="T13" s="397" t="str">
        <f>IMSUM(S13,R13,Q13)</f>
        <v>0.999999999960537+2.19911485497225E-06i</v>
      </c>
      <c r="U13" s="652">
        <v>1</v>
      </c>
      <c r="V13">
        <f>CHOOSE(INFILTER_TYPE,U13,IMDIV(J13,O13))</f>
        <v>1</v>
      </c>
      <c r="W13">
        <f>20*LOG10(IMABS(V13))</f>
        <v>0</v>
      </c>
      <c r="X13">
        <f t="shared" ref="X13:X44" si="10">IMARGUMENT(V13)*180/Pi</f>
        <v>0</v>
      </c>
      <c r="Z13" t="str">
        <f t="shared" ref="Z13:Z44" si="11">IMDIV(Q13,T13)</f>
        <v>1.00000000003946-5.9033537744459E-17i</v>
      </c>
      <c r="AA13">
        <f>20*LOG10(IMABS(Z13))</f>
        <v>3.4274512546547312E-10</v>
      </c>
      <c r="AB13">
        <f t="shared" ref="AB13:AB44" si="12">IMARGUMENT(Z13)*180/Pi</f>
        <v>-3.3823725662152017E-15</v>
      </c>
      <c r="AD13" s="30" t="str">
        <f t="shared" ref="AD13:AD44" si="13">IMPRODUCT((RdampCom*CdampCom+RdampCom*CinjCom),C13)</f>
        <v>0.000125663706i</v>
      </c>
      <c r="AE13" s="30" t="str">
        <f>IMSUM(1,AD13)</f>
        <v>1+0.000125663706i</v>
      </c>
      <c r="AF13" s="30" t="e">
        <f t="shared" ref="AF13:AF44" si="14">IMPRODUCT(G13,L_infilterStd*RdampSel*CinjSel*CdampSel,E13)</f>
        <v>#VALUE!</v>
      </c>
      <c r="AG13" t="e">
        <f t="shared" ref="AG13:AG44" si="15">IMPRODUCT(G13,LAEFCom*CinjCom,D13)</f>
        <v>#VALUE!</v>
      </c>
      <c r="AH13" t="str">
        <f>AE13</f>
        <v>1+0.000125663706i</v>
      </c>
      <c r="AI13" s="766" t="e">
        <f>IMSUM(AF13:AH13)</f>
        <v>#VALUE!</v>
      </c>
      <c r="AK13" t="e">
        <f>IMDIV(AE13,AI13)</f>
        <v>#VALUE!</v>
      </c>
      <c r="AM13" t="e">
        <f>20*LOG10(IMABS(AK13))</f>
        <v>#VALUE!</v>
      </c>
      <c r="AN13" t="e">
        <f t="shared" ref="AN13:AN44" si="16">IMARGUMENT(AK13)*180/Pi</f>
        <v>#VALUE!</v>
      </c>
    </row>
    <row r="14" spans="1:40" x14ac:dyDescent="0.25">
      <c r="A14" s="335">
        <v>2</v>
      </c>
      <c r="B14" s="352">
        <f t="shared" ref="B14:B96" si="17">A14/1000</f>
        <v>2E-3</v>
      </c>
      <c r="C14" t="str">
        <f t="shared" si="0"/>
        <v>12.5663706i</v>
      </c>
      <c r="D14" s="30" t="str">
        <f t="shared" si="1"/>
        <v>-157.913670056544</v>
      </c>
      <c r="E14" s="30" t="str">
        <f t="shared" si="2"/>
        <v>-1984.40170073666i</v>
      </c>
      <c r="G14" s="30" t="e">
        <f t="shared" si="3"/>
        <v>#VALUE!</v>
      </c>
      <c r="I14" s="30" t="e">
        <f t="shared" si="4"/>
        <v>#REF!</v>
      </c>
      <c r="J14" t="e">
        <f t="shared" ref="J14:J96" si="18">IMSUM(1,I14)</f>
        <v>#REF!</v>
      </c>
      <c r="L14" s="30" t="e">
        <f t="shared" si="5"/>
        <v>#VALUE!</v>
      </c>
      <c r="M14" t="e">
        <f t="shared" si="6"/>
        <v>#VALUE!</v>
      </c>
      <c r="N14" t="e">
        <f t="shared" ref="N14:N96" si="19">J14</f>
        <v>#REF!</v>
      </c>
      <c r="O14" s="299" t="e">
        <f t="shared" ref="O14:O96" si="20">IMSUM(L14:N14)</f>
        <v>#VALUE!</v>
      </c>
      <c r="P14" s="651">
        <v>0</v>
      </c>
      <c r="Q14" s="397" t="str">
        <f t="shared" si="7"/>
        <v>1+0.00000439822971i</v>
      </c>
      <c r="R14" s="397" t="str">
        <f t="shared" si="8"/>
        <v>-2.21975174244403E-16i</v>
      </c>
      <c r="S14" s="397" t="str">
        <f t="shared" si="9"/>
        <v>-1.57850504588521E-10</v>
      </c>
      <c r="T14" s="397" t="str">
        <f t="shared" ref="T14:T96" si="21">IMSUM(S14,R14,Q14)</f>
        <v>0.999999999842149+4.39822970977802E-06i</v>
      </c>
      <c r="U14" s="652">
        <v>1</v>
      </c>
      <c r="V14">
        <f t="shared" ref="V14:V44" si="22">CHOOSE(INFILTER_TYPE,U14,IMDIV(J14,O14),IMDIV(Q14,T14))</f>
        <v>1</v>
      </c>
      <c r="W14">
        <f t="shared" ref="W14:W96" si="23">20*LOG10(IMABS(V14))</f>
        <v>0</v>
      </c>
      <c r="X14">
        <f t="shared" si="10"/>
        <v>0</v>
      </c>
      <c r="Z14" t="str">
        <f t="shared" si="11"/>
        <v>1.00000000015785-4.72284395630731E-16i</v>
      </c>
      <c r="AA14">
        <f t="shared" ref="AA14:AA77" si="24">20*LOG10(IMABS(Z14))</f>
        <v>1.3710672912527204E-9</v>
      </c>
      <c r="AB14">
        <f t="shared" si="12"/>
        <v>-2.7059902626176745E-14</v>
      </c>
      <c r="AD14" s="30" t="str">
        <f t="shared" si="13"/>
        <v>0.000251327412i</v>
      </c>
      <c r="AE14" s="30" t="str">
        <f t="shared" ref="AE14:AE77" si="25">IMSUM(1,AD14)</f>
        <v>1+0.000251327412i</v>
      </c>
      <c r="AF14" s="30" t="e">
        <f t="shared" si="14"/>
        <v>#VALUE!</v>
      </c>
      <c r="AG14" t="e">
        <f t="shared" si="15"/>
        <v>#VALUE!</v>
      </c>
      <c r="AH14" t="str">
        <f t="shared" ref="AH14:AH77" si="26">AE14</f>
        <v>1+0.000251327412i</v>
      </c>
      <c r="AI14" s="299" t="e">
        <f t="shared" ref="AI14:AI77" si="27">IMSUM(AF14:AH14)</f>
        <v>#VALUE!</v>
      </c>
      <c r="AK14" t="e">
        <f t="shared" ref="AK14:AK77" si="28">IMDIV(AE14,AI14)</f>
        <v>#VALUE!</v>
      </c>
      <c r="AM14" t="e">
        <f t="shared" ref="AM14:AM77" si="29">20*LOG10(IMABS(AK14))</f>
        <v>#VALUE!</v>
      </c>
      <c r="AN14" t="e">
        <f t="shared" si="16"/>
        <v>#VALUE!</v>
      </c>
    </row>
    <row r="15" spans="1:40" x14ac:dyDescent="0.25">
      <c r="A15" s="335">
        <v>3</v>
      </c>
      <c r="B15" s="352">
        <f t="shared" si="17"/>
        <v>3.0000000000000001E-3</v>
      </c>
      <c r="C15" t="str">
        <f t="shared" si="0"/>
        <v>18.8495559i</v>
      </c>
      <c r="D15" s="30" t="str">
        <f t="shared" si="1"/>
        <v>-355.305757627225</v>
      </c>
      <c r="E15" s="30" t="str">
        <f t="shared" si="2"/>
        <v>-6697.35573998623i</v>
      </c>
      <c r="G15" s="30" t="e">
        <f t="shared" si="3"/>
        <v>#VALUE!</v>
      </c>
      <c r="I15" s="30" t="e">
        <f t="shared" si="4"/>
        <v>#REF!</v>
      </c>
      <c r="J15" t="e">
        <f t="shared" si="18"/>
        <v>#REF!</v>
      </c>
      <c r="L15" s="30" t="e">
        <f t="shared" si="5"/>
        <v>#VALUE!</v>
      </c>
      <c r="M15" t="e">
        <f t="shared" si="6"/>
        <v>#VALUE!</v>
      </c>
      <c r="N15" t="e">
        <f t="shared" si="19"/>
        <v>#REF!</v>
      </c>
      <c r="O15" s="299" t="e">
        <f t="shared" si="20"/>
        <v>#VALUE!</v>
      </c>
      <c r="P15" s="651">
        <v>0</v>
      </c>
      <c r="Q15" s="397" t="str">
        <f t="shared" si="7"/>
        <v>1+0.000006597344565i</v>
      </c>
      <c r="R15" s="397" t="str">
        <f t="shared" si="8"/>
        <v>-7.4916621307486E-16i</v>
      </c>
      <c r="S15" s="397" t="str">
        <f t="shared" si="9"/>
        <v>-3.55163635324174E-10</v>
      </c>
      <c r="T15" s="397" t="str">
        <f t="shared" si="21"/>
        <v>0.999999999644836+6.59734456425083E-06i</v>
      </c>
      <c r="U15" s="652">
        <v>1</v>
      </c>
      <c r="V15">
        <f t="shared" si="22"/>
        <v>1</v>
      </c>
      <c r="W15">
        <f t="shared" si="23"/>
        <v>0</v>
      </c>
      <c r="X15">
        <f t="shared" si="10"/>
        <v>0</v>
      </c>
      <c r="Z15" t="str">
        <f t="shared" si="11"/>
        <v>1.00000000035516-1.59396947052946E-15i</v>
      </c>
      <c r="AA15">
        <f t="shared" si="24"/>
        <v>3.0848797076462865E-9</v>
      </c>
      <c r="AB15">
        <f t="shared" si="12"/>
        <v>-9.1327723405961694E-14</v>
      </c>
      <c r="AD15" s="30" t="str">
        <f t="shared" si="13"/>
        <v>0.000376991118i</v>
      </c>
      <c r="AE15" s="30" t="str">
        <f t="shared" si="25"/>
        <v>1+0.000376991118i</v>
      </c>
      <c r="AF15" s="30" t="e">
        <f t="shared" si="14"/>
        <v>#VALUE!</v>
      </c>
      <c r="AG15" t="e">
        <f t="shared" si="15"/>
        <v>#VALUE!</v>
      </c>
      <c r="AH15" t="str">
        <f t="shared" si="26"/>
        <v>1+0.000376991118i</v>
      </c>
      <c r="AI15" s="299" t="e">
        <f t="shared" si="27"/>
        <v>#VALUE!</v>
      </c>
      <c r="AK15" t="e">
        <f t="shared" si="28"/>
        <v>#VALUE!</v>
      </c>
      <c r="AM15" t="e">
        <f t="shared" si="29"/>
        <v>#VALUE!</v>
      </c>
      <c r="AN15" t="e">
        <f t="shared" si="16"/>
        <v>#VALUE!</v>
      </c>
    </row>
    <row r="16" spans="1:40" x14ac:dyDescent="0.25">
      <c r="A16" s="324">
        <v>4</v>
      </c>
      <c r="B16" s="352">
        <f t="shared" si="17"/>
        <v>4.0000000000000001E-3</v>
      </c>
      <c r="C16" t="str">
        <f t="shared" si="0"/>
        <v>25.1327412i</v>
      </c>
      <c r="D16" s="30" t="str">
        <f t="shared" si="1"/>
        <v>-631.654680226178</v>
      </c>
      <c r="E16" s="30" t="str">
        <f t="shared" si="2"/>
        <v>-15875.2136058933i</v>
      </c>
      <c r="G16" s="30" t="e">
        <f t="shared" si="3"/>
        <v>#VALUE!</v>
      </c>
      <c r="I16" s="30" t="e">
        <f t="shared" si="4"/>
        <v>#REF!</v>
      </c>
      <c r="J16" t="e">
        <f t="shared" si="18"/>
        <v>#REF!</v>
      </c>
      <c r="L16" s="30" t="e">
        <f t="shared" si="5"/>
        <v>#VALUE!</v>
      </c>
      <c r="M16" t="e">
        <f t="shared" si="6"/>
        <v>#VALUE!</v>
      </c>
      <c r="N16" t="e">
        <f t="shared" si="19"/>
        <v>#REF!</v>
      </c>
      <c r="O16" s="299" t="e">
        <f t="shared" si="20"/>
        <v>#VALUE!</v>
      </c>
      <c r="P16" s="651">
        <v>0</v>
      </c>
      <c r="Q16" s="397" t="str">
        <f t="shared" si="7"/>
        <v>1+0.00000879645942i</v>
      </c>
      <c r="R16" s="397" t="str">
        <f t="shared" si="8"/>
        <v>-1.77580139395522E-15i</v>
      </c>
      <c r="S16" s="397" t="str">
        <f t="shared" si="9"/>
        <v>-6.31402018354088E-10</v>
      </c>
      <c r="T16" s="397" t="str">
        <f t="shared" si="21"/>
        <v>0.999999999368598+0.0000087964594182242i</v>
      </c>
      <c r="U16" s="652">
        <v>1</v>
      </c>
      <c r="V16">
        <f t="shared" si="22"/>
        <v>1</v>
      </c>
      <c r="W16">
        <f t="shared" si="23"/>
        <v>0</v>
      </c>
      <c r="X16">
        <f t="shared" si="10"/>
        <v>0</v>
      </c>
      <c r="Z16" t="str">
        <f t="shared" si="11"/>
        <v>1.0000000006314-3.77830227167012E-15i</v>
      </c>
      <c r="AA16">
        <f t="shared" si="24"/>
        <v>5.484271092367277E-9</v>
      </c>
      <c r="AB16">
        <f t="shared" si="12"/>
        <v>-2.1648077400206861E-13</v>
      </c>
      <c r="AD16" s="30" t="str">
        <f t="shared" si="13"/>
        <v>0.000502654824i</v>
      </c>
      <c r="AE16" s="30" t="str">
        <f t="shared" si="25"/>
        <v>1+0.000502654824i</v>
      </c>
      <c r="AF16" s="30" t="e">
        <f t="shared" si="14"/>
        <v>#VALUE!</v>
      </c>
      <c r="AG16" t="e">
        <f t="shared" si="15"/>
        <v>#VALUE!</v>
      </c>
      <c r="AH16" t="str">
        <f t="shared" si="26"/>
        <v>1+0.000502654824i</v>
      </c>
      <c r="AI16" s="299" t="e">
        <f t="shared" si="27"/>
        <v>#VALUE!</v>
      </c>
      <c r="AK16" t="e">
        <f t="shared" si="28"/>
        <v>#VALUE!</v>
      </c>
      <c r="AM16" t="e">
        <f t="shared" si="29"/>
        <v>#VALUE!</v>
      </c>
      <c r="AN16" t="e">
        <f t="shared" si="16"/>
        <v>#VALUE!</v>
      </c>
    </row>
    <row r="17" spans="1:40" x14ac:dyDescent="0.25">
      <c r="A17" s="335">
        <v>5</v>
      </c>
      <c r="B17" s="352">
        <f t="shared" si="17"/>
        <v>5.0000000000000001E-3</v>
      </c>
      <c r="C17" t="str">
        <f t="shared" si="0"/>
        <v>31.4159265i</v>
      </c>
      <c r="D17" s="30" t="str">
        <f t="shared" si="1"/>
        <v>-986.960437853402</v>
      </c>
      <c r="E17" s="30" t="str">
        <f t="shared" si="2"/>
        <v>-31006.2765740103i</v>
      </c>
      <c r="G17" s="30" t="e">
        <f t="shared" si="3"/>
        <v>#VALUE!</v>
      </c>
      <c r="I17" s="30" t="e">
        <f t="shared" si="4"/>
        <v>#REF!</v>
      </c>
      <c r="J17" t="e">
        <f t="shared" si="18"/>
        <v>#REF!</v>
      </c>
      <c r="L17" s="30" t="e">
        <f t="shared" si="5"/>
        <v>#VALUE!</v>
      </c>
      <c r="M17" t="e">
        <f t="shared" si="6"/>
        <v>#VALUE!</v>
      </c>
      <c r="N17" t="e">
        <f t="shared" si="19"/>
        <v>#REF!</v>
      </c>
      <c r="O17" s="299" t="e">
        <f t="shared" si="20"/>
        <v>#VALUE!</v>
      </c>
      <c r="P17" s="651">
        <v>0</v>
      </c>
      <c r="Q17" s="397" t="str">
        <f t="shared" si="7"/>
        <v>1+0.000010995574275i</v>
      </c>
      <c r="R17" s="397" t="str">
        <f t="shared" si="8"/>
        <v>-3.46836209756879E-15i</v>
      </c>
      <c r="S17" s="397" t="str">
        <f t="shared" si="9"/>
        <v>-9.86565653678261E-10</v>
      </c>
      <c r="T17" s="397" t="str">
        <f t="shared" si="21"/>
        <v>0.999999999013434+0.0000109955742715316i</v>
      </c>
      <c r="U17" s="652">
        <v>1</v>
      </c>
      <c r="V17">
        <f t="shared" si="22"/>
        <v>1</v>
      </c>
      <c r="W17">
        <f t="shared" si="23"/>
        <v>0</v>
      </c>
      <c r="X17">
        <f t="shared" si="10"/>
        <v>0</v>
      </c>
      <c r="Z17" t="str">
        <f t="shared" si="11"/>
        <v>1.00000000098657-7.37945946308484E-15i</v>
      </c>
      <c r="AA17">
        <f t="shared" si="24"/>
        <v>8.5692375875376739E-9</v>
      </c>
      <c r="AB17">
        <f t="shared" si="12"/>
        <v>-4.2281188238863731E-13</v>
      </c>
      <c r="AD17" s="30" t="str">
        <f t="shared" si="13"/>
        <v>0.00062831853i</v>
      </c>
      <c r="AE17" s="30" t="str">
        <f t="shared" si="25"/>
        <v>1+0.00062831853i</v>
      </c>
      <c r="AF17" s="30" t="e">
        <f t="shared" si="14"/>
        <v>#VALUE!</v>
      </c>
      <c r="AG17" t="e">
        <f t="shared" si="15"/>
        <v>#VALUE!</v>
      </c>
      <c r="AH17" t="str">
        <f t="shared" si="26"/>
        <v>1+0.00062831853i</v>
      </c>
      <c r="AI17" s="299" t="e">
        <f t="shared" si="27"/>
        <v>#VALUE!</v>
      </c>
      <c r="AK17" t="e">
        <f t="shared" si="28"/>
        <v>#VALUE!</v>
      </c>
      <c r="AM17" t="e">
        <f t="shared" si="29"/>
        <v>#VALUE!</v>
      </c>
      <c r="AN17" t="e">
        <f t="shared" si="16"/>
        <v>#VALUE!</v>
      </c>
    </row>
    <row r="18" spans="1:40" x14ac:dyDescent="0.25">
      <c r="A18" s="335">
        <v>6</v>
      </c>
      <c r="B18" s="352">
        <f t="shared" si="17"/>
        <v>6.0000000000000001E-3</v>
      </c>
      <c r="C18" t="str">
        <f t="shared" si="0"/>
        <v>37.6991118i</v>
      </c>
      <c r="D18" s="30" t="str">
        <f t="shared" si="1"/>
        <v>-1421.2230305089</v>
      </c>
      <c r="E18" s="30" t="str">
        <f t="shared" si="2"/>
        <v>-53578.8459198898i</v>
      </c>
      <c r="G18" s="30" t="e">
        <f t="shared" si="3"/>
        <v>#VALUE!</v>
      </c>
      <c r="I18" s="30" t="e">
        <f t="shared" si="4"/>
        <v>#REF!</v>
      </c>
      <c r="J18" t="e">
        <f t="shared" si="18"/>
        <v>#REF!</v>
      </c>
      <c r="L18" s="30" t="e">
        <f t="shared" si="5"/>
        <v>#VALUE!</v>
      </c>
      <c r="M18" t="e">
        <f t="shared" si="6"/>
        <v>#VALUE!</v>
      </c>
      <c r="N18" t="e">
        <f t="shared" si="19"/>
        <v>#REF!</v>
      </c>
      <c r="O18" s="299" t="e">
        <f t="shared" si="20"/>
        <v>#VALUE!</v>
      </c>
      <c r="P18" s="651">
        <v>0</v>
      </c>
      <c r="Q18" s="397" t="str">
        <f t="shared" si="7"/>
        <v>1+0.00001319468913i</v>
      </c>
      <c r="R18" s="397" t="str">
        <f t="shared" si="8"/>
        <v>-5.99332970459887E-15i</v>
      </c>
      <c r="S18" s="397" t="str">
        <f t="shared" si="9"/>
        <v>-1.4206545412967E-09</v>
      </c>
      <c r="T18" s="397" t="str">
        <f t="shared" si="21"/>
        <v>0.999999998579345+0.0000131946891240067i</v>
      </c>
      <c r="U18" s="652">
        <v>1</v>
      </c>
      <c r="V18">
        <f t="shared" si="22"/>
        <v>1</v>
      </c>
      <c r="W18">
        <f t="shared" si="23"/>
        <v>0</v>
      </c>
      <c r="X18">
        <f t="shared" si="10"/>
        <v>0</v>
      </c>
      <c r="Z18" t="str">
        <f t="shared" si="11"/>
        <v>1.00000000142066-1.27518015159367E-14i</v>
      </c>
      <c r="AA18">
        <f t="shared" si="24"/>
        <v>1.2339696260264985E-8</v>
      </c>
      <c r="AB18">
        <f t="shared" si="12"/>
        <v>-7.3062440784858933E-13</v>
      </c>
      <c r="AD18" s="30" t="str">
        <f t="shared" si="13"/>
        <v>0.000753982236i</v>
      </c>
      <c r="AE18" s="30" t="str">
        <f t="shared" si="25"/>
        <v>1+0.000753982236i</v>
      </c>
      <c r="AF18" s="30" t="e">
        <f t="shared" si="14"/>
        <v>#VALUE!</v>
      </c>
      <c r="AG18" t="e">
        <f t="shared" si="15"/>
        <v>#VALUE!</v>
      </c>
      <c r="AH18" t="str">
        <f t="shared" si="26"/>
        <v>1+0.000753982236i</v>
      </c>
      <c r="AI18" s="299" t="e">
        <f t="shared" si="27"/>
        <v>#VALUE!</v>
      </c>
      <c r="AK18" t="e">
        <f t="shared" si="28"/>
        <v>#VALUE!</v>
      </c>
      <c r="AM18" t="e">
        <f t="shared" si="29"/>
        <v>#VALUE!</v>
      </c>
      <c r="AN18" t="e">
        <f t="shared" si="16"/>
        <v>#VALUE!</v>
      </c>
    </row>
    <row r="19" spans="1:40" x14ac:dyDescent="0.25">
      <c r="A19" s="324">
        <v>7</v>
      </c>
      <c r="B19" s="352">
        <f t="shared" si="17"/>
        <v>7.0000000000000001E-3</v>
      </c>
      <c r="C19" t="str">
        <f t="shared" si="0"/>
        <v>43.9822971i</v>
      </c>
      <c r="D19" s="30" t="str">
        <f t="shared" si="1"/>
        <v>-1934.44245819267</v>
      </c>
      <c r="E19" s="30" t="str">
        <f t="shared" si="2"/>
        <v>-85081.2229190843i</v>
      </c>
      <c r="G19" s="30" t="e">
        <f t="shared" si="3"/>
        <v>#VALUE!</v>
      </c>
      <c r="I19" s="30" t="e">
        <f t="shared" si="4"/>
        <v>#REF!</v>
      </c>
      <c r="J19" t="e">
        <f t="shared" si="18"/>
        <v>#REF!</v>
      </c>
      <c r="L19" s="30" t="e">
        <f t="shared" si="5"/>
        <v>#VALUE!</v>
      </c>
      <c r="M19" t="e">
        <f t="shared" si="6"/>
        <v>#VALUE!</v>
      </c>
      <c r="N19" t="e">
        <f t="shared" si="19"/>
        <v>#REF!</v>
      </c>
      <c r="O19" s="299" t="e">
        <f t="shared" si="20"/>
        <v>#VALUE!</v>
      </c>
      <c r="P19" s="651">
        <v>0</v>
      </c>
      <c r="Q19" s="397" t="str">
        <f t="shared" si="7"/>
        <v>1+0.000015393803985i</v>
      </c>
      <c r="R19" s="397" t="str">
        <f t="shared" si="8"/>
        <v>-9.51718559572877E-15i</v>
      </c>
      <c r="S19" s="397" t="str">
        <f t="shared" si="9"/>
        <v>-1.93366868120939E-09</v>
      </c>
      <c r="T19" s="397" t="str">
        <f t="shared" si="21"/>
        <v>0.999999998066331+0.0000153938039754828i</v>
      </c>
      <c r="U19" s="652">
        <v>1</v>
      </c>
      <c r="V19">
        <f t="shared" si="22"/>
        <v>1</v>
      </c>
      <c r="W19">
        <f t="shared" si="23"/>
        <v>0</v>
      </c>
      <c r="X19">
        <f t="shared" si="10"/>
        <v>0</v>
      </c>
      <c r="Z19" t="str">
        <f t="shared" si="11"/>
        <v>1.00000000193367-2.02493221373488E-14i</v>
      </c>
      <c r="AA19">
        <f t="shared" si="24"/>
        <v>1.6795643252346658E-8</v>
      </c>
      <c r="AB19">
        <f t="shared" si="12"/>
        <v>-1.1602006955531912E-12</v>
      </c>
      <c r="AD19" s="30" t="str">
        <f t="shared" si="13"/>
        <v>0.000879645942i</v>
      </c>
      <c r="AE19" s="30" t="str">
        <f t="shared" si="25"/>
        <v>1+0.000879645942i</v>
      </c>
      <c r="AF19" s="30" t="e">
        <f t="shared" si="14"/>
        <v>#VALUE!</v>
      </c>
      <c r="AG19" t="e">
        <f t="shared" si="15"/>
        <v>#VALUE!</v>
      </c>
      <c r="AH19" t="str">
        <f t="shared" si="26"/>
        <v>1+0.000879645942i</v>
      </c>
      <c r="AI19" s="299" t="e">
        <f t="shared" si="27"/>
        <v>#VALUE!</v>
      </c>
      <c r="AK19" t="e">
        <f t="shared" si="28"/>
        <v>#VALUE!</v>
      </c>
      <c r="AM19" t="e">
        <f t="shared" si="29"/>
        <v>#VALUE!</v>
      </c>
      <c r="AN19" t="e">
        <f t="shared" si="16"/>
        <v>#VALUE!</v>
      </c>
    </row>
    <row r="20" spans="1:40" x14ac:dyDescent="0.25">
      <c r="A20" s="335">
        <v>8</v>
      </c>
      <c r="B20" s="352">
        <f t="shared" si="17"/>
        <v>8.0000000000000002E-3</v>
      </c>
      <c r="C20" t="str">
        <f t="shared" si="0"/>
        <v>50.2654824i</v>
      </c>
      <c r="D20" s="30" t="str">
        <f t="shared" si="1"/>
        <v>-2526.61872090471</v>
      </c>
      <c r="E20" s="30" t="str">
        <f t="shared" si="2"/>
        <v>-127001.708847146i</v>
      </c>
      <c r="G20" s="30" t="e">
        <f t="shared" si="3"/>
        <v>#VALUE!</v>
      </c>
      <c r="I20" s="30" t="e">
        <f t="shared" si="4"/>
        <v>#REF!</v>
      </c>
      <c r="J20" t="e">
        <f t="shared" si="18"/>
        <v>#REF!</v>
      </c>
      <c r="L20" s="30" t="e">
        <f t="shared" si="5"/>
        <v>#VALUE!</v>
      </c>
      <c r="M20" t="e">
        <f t="shared" si="6"/>
        <v>#VALUE!</v>
      </c>
      <c r="N20" t="e">
        <f t="shared" si="19"/>
        <v>#REF!</v>
      </c>
      <c r="O20" s="299" t="e">
        <f t="shared" si="20"/>
        <v>#VALUE!</v>
      </c>
      <c r="P20" s="651">
        <v>0</v>
      </c>
      <c r="Q20" s="397" t="str">
        <f t="shared" si="7"/>
        <v>1+0.00001759291884i</v>
      </c>
      <c r="R20" s="397" t="str">
        <f t="shared" si="8"/>
        <v>-1.42064111516417E-14i</v>
      </c>
      <c r="S20" s="397" t="str">
        <f t="shared" si="9"/>
        <v>-2.52560807341635E-09</v>
      </c>
      <c r="T20" s="397" t="str">
        <f t="shared" si="21"/>
        <v>0.999999997474392+0.0000175929188257936i</v>
      </c>
      <c r="U20" s="652">
        <v>1</v>
      </c>
      <c r="V20">
        <f t="shared" si="22"/>
        <v>1</v>
      </c>
      <c r="W20">
        <f t="shared" si="23"/>
        <v>0</v>
      </c>
      <c r="X20">
        <f t="shared" si="10"/>
        <v>0</v>
      </c>
      <c r="Z20" t="str">
        <f t="shared" si="11"/>
        <v>1.00000000252561-3.02264148354676E-14i</v>
      </c>
      <c r="AA20">
        <f t="shared" si="24"/>
        <v>2.1937169209509332E-8</v>
      </c>
      <c r="AB20">
        <f t="shared" si="12"/>
        <v>-1.7318459974888673E-12</v>
      </c>
      <c r="AD20" s="30" t="str">
        <f t="shared" si="13"/>
        <v>0.001005309648i</v>
      </c>
      <c r="AE20" s="30" t="str">
        <f t="shared" si="25"/>
        <v>1+0.001005309648i</v>
      </c>
      <c r="AF20" s="30" t="e">
        <f t="shared" si="14"/>
        <v>#VALUE!</v>
      </c>
      <c r="AG20" t="e">
        <f t="shared" si="15"/>
        <v>#VALUE!</v>
      </c>
      <c r="AH20" t="str">
        <f t="shared" si="26"/>
        <v>1+0.001005309648i</v>
      </c>
      <c r="AI20" s="299" t="e">
        <f t="shared" si="27"/>
        <v>#VALUE!</v>
      </c>
      <c r="AK20" t="e">
        <f t="shared" si="28"/>
        <v>#VALUE!</v>
      </c>
      <c r="AM20" t="e">
        <f t="shared" si="29"/>
        <v>#VALUE!</v>
      </c>
      <c r="AN20" t="e">
        <f t="shared" si="16"/>
        <v>#VALUE!</v>
      </c>
    </row>
    <row r="21" spans="1:40" x14ac:dyDescent="0.25">
      <c r="A21" s="335">
        <v>9</v>
      </c>
      <c r="B21" s="352">
        <f t="shared" si="17"/>
        <v>8.9999999999999993E-3</v>
      </c>
      <c r="C21" t="str">
        <f t="shared" si="0"/>
        <v>56.5486677i</v>
      </c>
      <c r="D21" s="30" t="str">
        <f t="shared" si="1"/>
        <v>-3197.75181864502</v>
      </c>
      <c r="E21" s="30" t="str">
        <f t="shared" si="2"/>
        <v>-180828.604979628i</v>
      </c>
      <c r="G21" s="30" t="e">
        <f t="shared" si="3"/>
        <v>#VALUE!</v>
      </c>
      <c r="I21" s="30" t="e">
        <f t="shared" si="4"/>
        <v>#REF!</v>
      </c>
      <c r="J21" t="e">
        <f t="shared" si="18"/>
        <v>#REF!</v>
      </c>
      <c r="L21" s="30" t="e">
        <f t="shared" si="5"/>
        <v>#VALUE!</v>
      </c>
      <c r="M21" t="e">
        <f t="shared" si="6"/>
        <v>#VALUE!</v>
      </c>
      <c r="N21" t="e">
        <f t="shared" si="19"/>
        <v>#REF!</v>
      </c>
      <c r="O21" s="299" t="e">
        <f t="shared" si="20"/>
        <v>#VALUE!</v>
      </c>
      <c r="P21" s="651">
        <v>0</v>
      </c>
      <c r="Q21" s="397" t="str">
        <f t="shared" si="7"/>
        <v>1+0.000019792033695i</v>
      </c>
      <c r="R21" s="397" t="str">
        <f t="shared" si="8"/>
        <v>-2.02274877530212E-14i</v>
      </c>
      <c r="S21" s="397" t="str">
        <f t="shared" si="9"/>
        <v>-3.19647271791756E-09</v>
      </c>
      <c r="T21" s="397" t="str">
        <f t="shared" si="21"/>
        <v>0.999999996803527+0.0000197920336747725i</v>
      </c>
      <c r="U21" s="652">
        <v>1</v>
      </c>
      <c r="V21">
        <f t="shared" si="22"/>
        <v>1</v>
      </c>
      <c r="W21">
        <f t="shared" si="23"/>
        <v>0</v>
      </c>
      <c r="X21">
        <f t="shared" si="10"/>
        <v>0</v>
      </c>
      <c r="Z21" t="str">
        <f t="shared" si="11"/>
        <v>1.00000000319647-4.30372020696133E-14i</v>
      </c>
      <c r="AA21">
        <f t="shared" si="24"/>
        <v>2.7764185412408903E-8</v>
      </c>
      <c r="AB21">
        <f t="shared" si="12"/>
        <v>-2.4658500355761629E-12</v>
      </c>
      <c r="AD21" s="30" t="str">
        <f t="shared" si="13"/>
        <v>0.001130973354i</v>
      </c>
      <c r="AE21" s="30" t="str">
        <f t="shared" si="25"/>
        <v>1+0.001130973354i</v>
      </c>
      <c r="AF21" s="30" t="e">
        <f t="shared" si="14"/>
        <v>#VALUE!</v>
      </c>
      <c r="AG21" t="e">
        <f t="shared" si="15"/>
        <v>#VALUE!</v>
      </c>
      <c r="AH21" t="str">
        <f t="shared" si="26"/>
        <v>1+0.001130973354i</v>
      </c>
      <c r="AI21" s="299" t="e">
        <f t="shared" si="27"/>
        <v>#VALUE!</v>
      </c>
      <c r="AK21" t="e">
        <f t="shared" si="28"/>
        <v>#VALUE!</v>
      </c>
      <c r="AM21" t="e">
        <f t="shared" si="29"/>
        <v>#VALUE!</v>
      </c>
      <c r="AN21" t="e">
        <f t="shared" si="16"/>
        <v>#VALUE!</v>
      </c>
    </row>
    <row r="22" spans="1:40" x14ac:dyDescent="0.25">
      <c r="A22" s="324">
        <v>10</v>
      </c>
      <c r="B22" s="352">
        <f t="shared" si="17"/>
        <v>0.01</v>
      </c>
      <c r="C22" t="str">
        <f t="shared" si="0"/>
        <v>62.831853i</v>
      </c>
      <c r="D22" s="30" t="str">
        <f t="shared" si="1"/>
        <v>-3947.84175141361</v>
      </c>
      <c r="E22" s="30" t="str">
        <f t="shared" si="2"/>
        <v>-248050.212592082i</v>
      </c>
      <c r="G22" s="30" t="e">
        <f t="shared" si="3"/>
        <v>#VALUE!</v>
      </c>
      <c r="I22" s="30" t="e">
        <f t="shared" si="4"/>
        <v>#REF!</v>
      </c>
      <c r="J22" t="e">
        <f t="shared" si="18"/>
        <v>#REF!</v>
      </c>
      <c r="L22" s="30" t="e">
        <f t="shared" si="5"/>
        <v>#VALUE!</v>
      </c>
      <c r="M22" t="e">
        <f t="shared" si="6"/>
        <v>#VALUE!</v>
      </c>
      <c r="N22" t="e">
        <f t="shared" si="19"/>
        <v>#REF!</v>
      </c>
      <c r="O22" s="299" t="e">
        <f t="shared" si="20"/>
        <v>#VALUE!</v>
      </c>
      <c r="P22" s="651">
        <v>0</v>
      </c>
      <c r="Q22" s="397" t="str">
        <f t="shared" si="7"/>
        <v>1+0.00002199114855i</v>
      </c>
      <c r="R22" s="397" t="str">
        <f t="shared" si="8"/>
        <v>-2.77468967805503E-14i</v>
      </c>
      <c r="S22" s="397" t="str">
        <f t="shared" si="9"/>
        <v>-3.94626261471304E-09</v>
      </c>
      <c r="T22" s="397" t="str">
        <f t="shared" si="21"/>
        <v>0.999999996053737+0.0000219911485222531i</v>
      </c>
      <c r="U22" s="652">
        <v>1</v>
      </c>
      <c r="V22">
        <f t="shared" si="22"/>
        <v>1</v>
      </c>
      <c r="W22">
        <f t="shared" si="23"/>
        <v>0</v>
      </c>
      <c r="X22">
        <f t="shared" si="10"/>
        <v>0</v>
      </c>
      <c r="Z22" t="str">
        <f t="shared" si="11"/>
        <v>1.00000000394626-5.90359570729332E-14i</v>
      </c>
      <c r="AA22">
        <f t="shared" si="24"/>
        <v>3.4276778649137416E-8</v>
      </c>
      <c r="AB22">
        <f t="shared" si="12"/>
        <v>-3.3825111703113878E-12</v>
      </c>
      <c r="AD22" s="30" t="str">
        <f t="shared" si="13"/>
        <v>0.00125663706i</v>
      </c>
      <c r="AE22" s="30" t="str">
        <f t="shared" si="25"/>
        <v>1+0.00125663706i</v>
      </c>
      <c r="AF22" s="30" t="e">
        <f t="shared" si="14"/>
        <v>#VALUE!</v>
      </c>
      <c r="AG22" t="e">
        <f t="shared" si="15"/>
        <v>#VALUE!</v>
      </c>
      <c r="AH22" t="str">
        <f t="shared" si="26"/>
        <v>1+0.00125663706i</v>
      </c>
      <c r="AI22" s="299" t="e">
        <f t="shared" si="27"/>
        <v>#VALUE!</v>
      </c>
      <c r="AK22" t="e">
        <f t="shared" si="28"/>
        <v>#VALUE!</v>
      </c>
      <c r="AM22" t="e">
        <f t="shared" si="29"/>
        <v>#VALUE!</v>
      </c>
      <c r="AN22" t="e">
        <f t="shared" si="16"/>
        <v>#VALUE!</v>
      </c>
    </row>
    <row r="23" spans="1:40" x14ac:dyDescent="0.25">
      <c r="A23" s="335">
        <v>20</v>
      </c>
      <c r="B23" s="352">
        <f t="shared" si="17"/>
        <v>0.02</v>
      </c>
      <c r="C23" t="str">
        <f t="shared" si="0"/>
        <v>125.663706i</v>
      </c>
      <c r="D23" s="30" t="str">
        <f t="shared" si="1"/>
        <v>-15791.3670056544</v>
      </c>
      <c r="E23" s="30" t="str">
        <f t="shared" si="2"/>
        <v>-1984401.70073666i</v>
      </c>
      <c r="G23" s="30" t="e">
        <f t="shared" si="3"/>
        <v>#VALUE!</v>
      </c>
      <c r="I23" s="30" t="e">
        <f t="shared" si="4"/>
        <v>#REF!</v>
      </c>
      <c r="J23" t="e">
        <f t="shared" si="18"/>
        <v>#REF!</v>
      </c>
      <c r="L23" s="30" t="e">
        <f t="shared" si="5"/>
        <v>#VALUE!</v>
      </c>
      <c r="M23" t="e">
        <f t="shared" si="6"/>
        <v>#VALUE!</v>
      </c>
      <c r="N23" t="e">
        <f t="shared" si="19"/>
        <v>#REF!</v>
      </c>
      <c r="O23" s="299" t="e">
        <f t="shared" si="20"/>
        <v>#VALUE!</v>
      </c>
      <c r="P23" s="651">
        <v>0</v>
      </c>
      <c r="Q23" s="397" t="str">
        <f t="shared" si="7"/>
        <v>1+0.0000439822971i</v>
      </c>
      <c r="R23" s="397" t="str">
        <f t="shared" si="8"/>
        <v>-2.21975174244403E-13i</v>
      </c>
      <c r="S23" s="397" t="str">
        <f t="shared" si="9"/>
        <v>-1.57850504588521E-08</v>
      </c>
      <c r="T23" s="397" t="str">
        <f t="shared" si="21"/>
        <v>0.99999998421495+0.0000439822968780248i</v>
      </c>
      <c r="U23" s="652">
        <v>1</v>
      </c>
      <c r="V23">
        <f t="shared" si="22"/>
        <v>1</v>
      </c>
      <c r="W23">
        <f t="shared" si="23"/>
        <v>0</v>
      </c>
      <c r="X23">
        <f t="shared" si="10"/>
        <v>0</v>
      </c>
      <c r="Z23" t="str">
        <f t="shared" si="11"/>
        <v>1.00000001578505-4.72287580174405E-13i</v>
      </c>
      <c r="AA23">
        <f t="shared" si="24"/>
        <v>1.3710720057442979E-7</v>
      </c>
      <c r="AB23">
        <f t="shared" si="12"/>
        <v>-2.7060084664215768E-11</v>
      </c>
      <c r="AD23" s="30" t="str">
        <f t="shared" si="13"/>
        <v>0.00251327412i</v>
      </c>
      <c r="AE23" s="30" t="str">
        <f t="shared" si="25"/>
        <v>1+0.00251327412i</v>
      </c>
      <c r="AF23" s="30" t="e">
        <f t="shared" si="14"/>
        <v>#VALUE!</v>
      </c>
      <c r="AG23" t="e">
        <f t="shared" si="15"/>
        <v>#VALUE!</v>
      </c>
      <c r="AH23" t="str">
        <f t="shared" si="26"/>
        <v>1+0.00251327412i</v>
      </c>
      <c r="AI23" s="299" t="e">
        <f t="shared" si="27"/>
        <v>#VALUE!</v>
      </c>
      <c r="AK23" t="e">
        <f t="shared" si="28"/>
        <v>#VALUE!</v>
      </c>
      <c r="AM23" t="e">
        <f t="shared" si="29"/>
        <v>#VALUE!</v>
      </c>
      <c r="AN23" t="e">
        <f t="shared" si="16"/>
        <v>#VALUE!</v>
      </c>
    </row>
    <row r="24" spans="1:40" x14ac:dyDescent="0.25">
      <c r="A24" s="324">
        <v>30</v>
      </c>
      <c r="B24" s="352">
        <f t="shared" si="17"/>
        <v>0.03</v>
      </c>
      <c r="C24" t="str">
        <f t="shared" si="0"/>
        <v>188.495559i</v>
      </c>
      <c r="D24" s="30" t="str">
        <f t="shared" si="1"/>
        <v>-35530.5757627225</v>
      </c>
      <c r="E24" s="30" t="str">
        <f t="shared" si="2"/>
        <v>-6697355.73998623i</v>
      </c>
      <c r="G24" s="30" t="e">
        <f t="shared" si="3"/>
        <v>#VALUE!</v>
      </c>
      <c r="I24" s="30" t="e">
        <f t="shared" si="4"/>
        <v>#REF!</v>
      </c>
      <c r="J24" t="e">
        <f t="shared" si="18"/>
        <v>#REF!</v>
      </c>
      <c r="L24" s="30" t="e">
        <f t="shared" si="5"/>
        <v>#VALUE!</v>
      </c>
      <c r="M24" t="e">
        <f t="shared" si="6"/>
        <v>#VALUE!</v>
      </c>
      <c r="N24" t="e">
        <f t="shared" si="19"/>
        <v>#REF!</v>
      </c>
      <c r="O24" s="299" t="e">
        <f t="shared" si="20"/>
        <v>#VALUE!</v>
      </c>
      <c r="P24" s="651">
        <v>0</v>
      </c>
      <c r="Q24" s="397" t="str">
        <f t="shared" si="7"/>
        <v>1+0.00006597344565i</v>
      </c>
      <c r="R24" s="397" t="str">
        <f t="shared" si="8"/>
        <v>-7.4916621307486E-13i</v>
      </c>
      <c r="S24" s="397" t="str">
        <f t="shared" si="9"/>
        <v>-3.55163635324174E-08</v>
      </c>
      <c r="T24" s="397" t="str">
        <f t="shared" si="21"/>
        <v>0.999999964483636+0.0000659734449008338i</v>
      </c>
      <c r="U24" s="652">
        <v>1</v>
      </c>
      <c r="V24">
        <f t="shared" si="22"/>
        <v>1</v>
      </c>
      <c r="W24">
        <f t="shared" si="23"/>
        <v>0</v>
      </c>
      <c r="X24">
        <f t="shared" si="10"/>
        <v>0</v>
      </c>
      <c r="Z24" t="str">
        <f t="shared" si="11"/>
        <v>1.00000003551637-1.59397081397336E-12i</v>
      </c>
      <c r="AA24">
        <f t="shared" si="24"/>
        <v>3.0849126526975555E-7</v>
      </c>
      <c r="AB24">
        <f t="shared" si="12"/>
        <v>-9.1327797168431367E-11</v>
      </c>
      <c r="AD24" s="30" t="str">
        <f t="shared" si="13"/>
        <v>0.00376991118i</v>
      </c>
      <c r="AE24" s="30" t="str">
        <f t="shared" si="25"/>
        <v>1+0.00376991118i</v>
      </c>
      <c r="AF24" s="30" t="e">
        <f t="shared" si="14"/>
        <v>#VALUE!</v>
      </c>
      <c r="AG24" t="e">
        <f t="shared" si="15"/>
        <v>#VALUE!</v>
      </c>
      <c r="AH24" t="str">
        <f t="shared" si="26"/>
        <v>1+0.00376991118i</v>
      </c>
      <c r="AI24" s="299" t="e">
        <f t="shared" si="27"/>
        <v>#VALUE!</v>
      </c>
      <c r="AK24" t="e">
        <f t="shared" si="28"/>
        <v>#VALUE!</v>
      </c>
      <c r="AM24" t="e">
        <f t="shared" si="29"/>
        <v>#VALUE!</v>
      </c>
      <c r="AN24" t="e">
        <f t="shared" si="16"/>
        <v>#VALUE!</v>
      </c>
    </row>
    <row r="25" spans="1:40" x14ac:dyDescent="0.25">
      <c r="A25" s="335">
        <v>40</v>
      </c>
      <c r="B25" s="352">
        <f t="shared" si="17"/>
        <v>0.04</v>
      </c>
      <c r="C25" t="str">
        <f t="shared" si="0"/>
        <v>251.327412i</v>
      </c>
      <c r="D25" s="30" t="str">
        <f t="shared" si="1"/>
        <v>-63165.4680226178</v>
      </c>
      <c r="E25" s="30" t="str">
        <f t="shared" si="2"/>
        <v>-15875213.6058933i</v>
      </c>
      <c r="G25" s="30" t="e">
        <f t="shared" si="3"/>
        <v>#VALUE!</v>
      </c>
      <c r="I25" s="30" t="e">
        <f t="shared" si="4"/>
        <v>#REF!</v>
      </c>
      <c r="J25" t="e">
        <f t="shared" si="18"/>
        <v>#REF!</v>
      </c>
      <c r="L25" s="30" t="e">
        <f t="shared" si="5"/>
        <v>#VALUE!</v>
      </c>
      <c r="M25" t="e">
        <f t="shared" si="6"/>
        <v>#VALUE!</v>
      </c>
      <c r="N25" t="e">
        <f t="shared" si="19"/>
        <v>#REF!</v>
      </c>
      <c r="O25" s="299" t="e">
        <f t="shared" si="20"/>
        <v>#VALUE!</v>
      </c>
      <c r="P25" s="651">
        <v>0</v>
      </c>
      <c r="Q25" s="397" t="str">
        <f t="shared" si="7"/>
        <v>1+0.0000879645942i</v>
      </c>
      <c r="R25" s="397" t="str">
        <f t="shared" si="8"/>
        <v>-1.77580139395522E-12i</v>
      </c>
      <c r="S25" s="397" t="str">
        <f t="shared" si="9"/>
        <v>-6.31402018354088E-08</v>
      </c>
      <c r="T25" s="397" t="str">
        <f t="shared" si="21"/>
        <v>0.999999936859798+0.0000879645924241986i</v>
      </c>
      <c r="U25" s="652">
        <v>1</v>
      </c>
      <c r="V25">
        <f t="shared" si="22"/>
        <v>1</v>
      </c>
      <c r="W25">
        <f t="shared" si="23"/>
        <v>0</v>
      </c>
      <c r="X25">
        <f t="shared" si="10"/>
        <v>0</v>
      </c>
      <c r="Z25" t="str">
        <f t="shared" si="11"/>
        <v>1.00000006314021-3.77830129983406E-12i</v>
      </c>
      <c r="AA25">
        <f t="shared" si="24"/>
        <v>5.4842887803037698E-7</v>
      </c>
      <c r="AB25">
        <f t="shared" si="12"/>
        <v>-2.1648070478801279E-10</v>
      </c>
      <c r="AD25" s="30" t="str">
        <f t="shared" si="13"/>
        <v>0.00502654824i</v>
      </c>
      <c r="AE25" s="30" t="str">
        <f t="shared" si="25"/>
        <v>1+0.00502654824i</v>
      </c>
      <c r="AF25" s="30" t="e">
        <f t="shared" si="14"/>
        <v>#VALUE!</v>
      </c>
      <c r="AG25" t="e">
        <f t="shared" si="15"/>
        <v>#VALUE!</v>
      </c>
      <c r="AH25" t="str">
        <f t="shared" si="26"/>
        <v>1+0.00502654824i</v>
      </c>
      <c r="AI25" s="299" t="e">
        <f t="shared" si="27"/>
        <v>#VALUE!</v>
      </c>
      <c r="AK25" t="e">
        <f t="shared" si="28"/>
        <v>#VALUE!</v>
      </c>
      <c r="AM25" t="e">
        <f t="shared" si="29"/>
        <v>#VALUE!</v>
      </c>
      <c r="AN25" t="e">
        <f t="shared" si="16"/>
        <v>#VALUE!</v>
      </c>
    </row>
    <row r="26" spans="1:40" x14ac:dyDescent="0.25">
      <c r="A26" s="324">
        <v>50</v>
      </c>
      <c r="B26" s="352">
        <f t="shared" si="17"/>
        <v>0.05</v>
      </c>
      <c r="C26" t="str">
        <f t="shared" si="0"/>
        <v>314.159265i</v>
      </c>
      <c r="D26" s="30" t="str">
        <f t="shared" si="1"/>
        <v>-98696.0437853402</v>
      </c>
      <c r="E26" s="30" t="str">
        <f t="shared" si="2"/>
        <v>-31006276.5740103i</v>
      </c>
      <c r="G26" s="30" t="e">
        <f t="shared" si="3"/>
        <v>#VALUE!</v>
      </c>
      <c r="I26" s="30" t="e">
        <f t="shared" si="4"/>
        <v>#REF!</v>
      </c>
      <c r="J26" t="e">
        <f t="shared" si="18"/>
        <v>#REF!</v>
      </c>
      <c r="L26" s="30" t="e">
        <f t="shared" si="5"/>
        <v>#VALUE!</v>
      </c>
      <c r="M26" t="e">
        <f t="shared" si="6"/>
        <v>#VALUE!</v>
      </c>
      <c r="N26" t="e">
        <f t="shared" si="19"/>
        <v>#REF!</v>
      </c>
      <c r="O26" s="299" t="e">
        <f t="shared" si="20"/>
        <v>#VALUE!</v>
      </c>
      <c r="P26" s="651">
        <v>0</v>
      </c>
      <c r="Q26" s="397" t="str">
        <f t="shared" si="7"/>
        <v>1+0.00010995574275i</v>
      </c>
      <c r="R26" s="397" t="str">
        <f t="shared" si="8"/>
        <v>-3.46836209756879E-12i</v>
      </c>
      <c r="S26" s="397" t="str">
        <f t="shared" si="9"/>
        <v>-9.86565653678261E-08</v>
      </c>
      <c r="T26" s="397" t="str">
        <f t="shared" si="21"/>
        <v>0.999999901343435+0.000109955739281638i</v>
      </c>
      <c r="U26" s="652">
        <v>1</v>
      </c>
      <c r="V26">
        <f t="shared" si="22"/>
        <v>1</v>
      </c>
      <c r="W26">
        <f t="shared" si="23"/>
        <v>0</v>
      </c>
      <c r="X26">
        <f t="shared" si="10"/>
        <v>0</v>
      </c>
      <c r="Z26" t="str">
        <f t="shared" si="11"/>
        <v>1.00000009865657-7.37949525076775E-12i</v>
      </c>
      <c r="AA26">
        <f t="shared" si="24"/>
        <v>8.5692003703246746E-7</v>
      </c>
      <c r="AB26">
        <f t="shared" si="12"/>
        <v>-4.2281389157559421E-10</v>
      </c>
      <c r="AD26" s="30" t="str">
        <f t="shared" si="13"/>
        <v>0.0062831853i</v>
      </c>
      <c r="AE26" s="30" t="str">
        <f t="shared" si="25"/>
        <v>1+0.0062831853i</v>
      </c>
      <c r="AF26" s="30" t="e">
        <f t="shared" si="14"/>
        <v>#VALUE!</v>
      </c>
      <c r="AG26" t="e">
        <f t="shared" si="15"/>
        <v>#VALUE!</v>
      </c>
      <c r="AH26" t="str">
        <f t="shared" si="26"/>
        <v>1+0.0062831853i</v>
      </c>
      <c r="AI26" s="299" t="e">
        <f t="shared" si="27"/>
        <v>#VALUE!</v>
      </c>
      <c r="AK26" t="e">
        <f t="shared" si="28"/>
        <v>#VALUE!</v>
      </c>
      <c r="AM26" t="e">
        <f t="shared" si="29"/>
        <v>#VALUE!</v>
      </c>
      <c r="AN26" t="e">
        <f t="shared" si="16"/>
        <v>#VALUE!</v>
      </c>
    </row>
    <row r="27" spans="1:40" x14ac:dyDescent="0.25">
      <c r="A27" s="335">
        <v>60</v>
      </c>
      <c r="B27" s="352">
        <f t="shared" si="17"/>
        <v>0.06</v>
      </c>
      <c r="C27" t="str">
        <f t="shared" si="0"/>
        <v>376.991118i</v>
      </c>
      <c r="D27" s="30" t="str">
        <f t="shared" si="1"/>
        <v>-142122.30305089</v>
      </c>
      <c r="E27" s="30" t="str">
        <f t="shared" si="2"/>
        <v>-53578845.9198898i</v>
      </c>
      <c r="G27" s="30" t="e">
        <f t="shared" si="3"/>
        <v>#VALUE!</v>
      </c>
      <c r="I27" s="30" t="e">
        <f t="shared" si="4"/>
        <v>#REF!</v>
      </c>
      <c r="J27" t="e">
        <f t="shared" si="18"/>
        <v>#REF!</v>
      </c>
      <c r="L27" s="30" t="e">
        <f t="shared" si="5"/>
        <v>#VALUE!</v>
      </c>
      <c r="M27" t="e">
        <f t="shared" si="6"/>
        <v>#VALUE!</v>
      </c>
      <c r="N27" t="e">
        <f t="shared" si="19"/>
        <v>#REF!</v>
      </c>
      <c r="O27" s="299" t="e">
        <f t="shared" si="20"/>
        <v>#VALUE!</v>
      </c>
      <c r="P27" s="651">
        <v>0</v>
      </c>
      <c r="Q27" s="397" t="str">
        <f t="shared" si="7"/>
        <v>1+0.0001319468913i</v>
      </c>
      <c r="R27" s="397" t="str">
        <f t="shared" si="8"/>
        <v>-5.99332970459887E-12i</v>
      </c>
      <c r="S27" s="397" t="str">
        <f t="shared" si="9"/>
        <v>-1.4206545412967E-07</v>
      </c>
      <c r="T27" s="397" t="str">
        <f t="shared" si="21"/>
        <v>0.999999857934546+0.00013194688530667i</v>
      </c>
      <c r="U27" s="652">
        <v>1</v>
      </c>
      <c r="V27">
        <f t="shared" si="22"/>
        <v>1</v>
      </c>
      <c r="W27">
        <f t="shared" si="23"/>
        <v>0</v>
      </c>
      <c r="X27">
        <f t="shared" si="10"/>
        <v>0</v>
      </c>
      <c r="Z27" t="str">
        <f t="shared" si="11"/>
        <v>1.00000014206547-1.27517683815965E-11i</v>
      </c>
      <c r="AA27">
        <f t="shared" si="24"/>
        <v>1.2339649066219747E-6</v>
      </c>
      <c r="AB27">
        <f t="shared" si="12"/>
        <v>-7.3062240663248992E-10</v>
      </c>
      <c r="AD27" s="30" t="str">
        <f t="shared" si="13"/>
        <v>0.00753982236i</v>
      </c>
      <c r="AE27" s="30" t="str">
        <f t="shared" si="25"/>
        <v>1+0.00753982236i</v>
      </c>
      <c r="AF27" s="30" t="e">
        <f t="shared" si="14"/>
        <v>#VALUE!</v>
      </c>
      <c r="AG27" t="e">
        <f t="shared" si="15"/>
        <v>#VALUE!</v>
      </c>
      <c r="AH27" t="str">
        <f t="shared" si="26"/>
        <v>1+0.00753982236i</v>
      </c>
      <c r="AI27" s="299" t="e">
        <f t="shared" si="27"/>
        <v>#VALUE!</v>
      </c>
      <c r="AK27" t="e">
        <f t="shared" si="28"/>
        <v>#VALUE!</v>
      </c>
      <c r="AM27" t="e">
        <f t="shared" si="29"/>
        <v>#VALUE!</v>
      </c>
      <c r="AN27" t="e">
        <f t="shared" si="16"/>
        <v>#VALUE!</v>
      </c>
    </row>
    <row r="28" spans="1:40" x14ac:dyDescent="0.25">
      <c r="A28" s="324">
        <v>70</v>
      </c>
      <c r="B28" s="352">
        <f t="shared" si="17"/>
        <v>7.0000000000000007E-2</v>
      </c>
      <c r="C28" t="str">
        <f t="shared" si="0"/>
        <v>439.822971i</v>
      </c>
      <c r="D28" s="30" t="str">
        <f t="shared" si="1"/>
        <v>-193444.245819267</v>
      </c>
      <c r="E28" s="30" t="str">
        <f t="shared" si="2"/>
        <v>-85081222.9190843i</v>
      </c>
      <c r="G28" s="30" t="e">
        <f t="shared" si="3"/>
        <v>#VALUE!</v>
      </c>
      <c r="I28" s="30" t="e">
        <f t="shared" si="4"/>
        <v>#REF!</v>
      </c>
      <c r="J28" t="e">
        <f t="shared" si="18"/>
        <v>#REF!</v>
      </c>
      <c r="L28" s="30" t="e">
        <f t="shared" si="5"/>
        <v>#VALUE!</v>
      </c>
      <c r="M28" t="e">
        <f t="shared" si="6"/>
        <v>#VALUE!</v>
      </c>
      <c r="N28" t="e">
        <f t="shared" si="19"/>
        <v>#REF!</v>
      </c>
      <c r="O28" s="299" t="e">
        <f t="shared" si="20"/>
        <v>#VALUE!</v>
      </c>
      <c r="P28" s="651">
        <v>0</v>
      </c>
      <c r="Q28" s="397" t="str">
        <f t="shared" si="7"/>
        <v>1+0.00015393803985i</v>
      </c>
      <c r="R28" s="397" t="str">
        <f t="shared" si="8"/>
        <v>-9.51718559572877E-12i</v>
      </c>
      <c r="S28" s="397" t="str">
        <f t="shared" si="9"/>
        <v>-1.93366868120939E-07</v>
      </c>
      <c r="T28" s="397" t="str">
        <f t="shared" si="21"/>
        <v>0.999999806633132+0.000153938030332814i</v>
      </c>
      <c r="U28" s="652">
        <v>1</v>
      </c>
      <c r="V28">
        <f t="shared" si="22"/>
        <v>1</v>
      </c>
      <c r="W28">
        <f t="shared" si="23"/>
        <v>0</v>
      </c>
      <c r="X28">
        <f t="shared" si="10"/>
        <v>0</v>
      </c>
      <c r="Z28" t="str">
        <f t="shared" si="11"/>
        <v>1.0000001933669-2.02493379799158E-11i</v>
      </c>
      <c r="AA28">
        <f t="shared" si="24"/>
        <v>1.6795633910819215E-6</v>
      </c>
      <c r="AB28">
        <f t="shared" si="12"/>
        <v>-1.1602013811643187E-9</v>
      </c>
      <c r="AD28" s="30" t="str">
        <f t="shared" si="13"/>
        <v>0.00879645942i</v>
      </c>
      <c r="AE28" s="30" t="str">
        <f t="shared" si="25"/>
        <v>1+0.00879645942i</v>
      </c>
      <c r="AF28" s="30" t="e">
        <f t="shared" si="14"/>
        <v>#VALUE!</v>
      </c>
      <c r="AG28" t="e">
        <f t="shared" si="15"/>
        <v>#VALUE!</v>
      </c>
      <c r="AH28" t="str">
        <f t="shared" si="26"/>
        <v>1+0.00879645942i</v>
      </c>
      <c r="AI28" s="299" t="e">
        <f t="shared" si="27"/>
        <v>#VALUE!</v>
      </c>
      <c r="AK28" t="e">
        <f t="shared" si="28"/>
        <v>#VALUE!</v>
      </c>
      <c r="AM28" t="e">
        <f t="shared" si="29"/>
        <v>#VALUE!</v>
      </c>
      <c r="AN28" t="e">
        <f t="shared" si="16"/>
        <v>#VALUE!</v>
      </c>
    </row>
    <row r="29" spans="1:40" x14ac:dyDescent="0.25">
      <c r="A29" s="335">
        <v>80</v>
      </c>
      <c r="B29" s="352">
        <f t="shared" si="17"/>
        <v>0.08</v>
      </c>
      <c r="C29" t="str">
        <f t="shared" si="0"/>
        <v>502.654824i</v>
      </c>
      <c r="D29" s="30" t="str">
        <f t="shared" si="1"/>
        <v>-252661.872090471</v>
      </c>
      <c r="E29" s="30" t="str">
        <f t="shared" si="2"/>
        <v>-127001708.847146i</v>
      </c>
      <c r="G29" s="30" t="e">
        <f t="shared" si="3"/>
        <v>#VALUE!</v>
      </c>
      <c r="I29" s="30" t="e">
        <f t="shared" si="4"/>
        <v>#REF!</v>
      </c>
      <c r="J29" t="e">
        <f t="shared" si="18"/>
        <v>#REF!</v>
      </c>
      <c r="L29" s="30" t="e">
        <f t="shared" si="5"/>
        <v>#VALUE!</v>
      </c>
      <c r="M29" t="e">
        <f t="shared" si="6"/>
        <v>#VALUE!</v>
      </c>
      <c r="N29" t="e">
        <f t="shared" si="19"/>
        <v>#REF!</v>
      </c>
      <c r="O29" s="299" t="e">
        <f t="shared" si="20"/>
        <v>#VALUE!</v>
      </c>
      <c r="P29" s="651">
        <v>0</v>
      </c>
      <c r="Q29" s="397" t="str">
        <f t="shared" si="7"/>
        <v>1+0.0001759291884i</v>
      </c>
      <c r="R29" s="397" t="str">
        <f t="shared" si="8"/>
        <v>-1.42064111516417E-11i</v>
      </c>
      <c r="S29" s="397" t="str">
        <f t="shared" si="9"/>
        <v>-2.52560807341635E-07</v>
      </c>
      <c r="T29" s="397" t="str">
        <f t="shared" si="21"/>
        <v>0.999999747439193+0.000175929174193589i</v>
      </c>
      <c r="U29" s="652">
        <v>1</v>
      </c>
      <c r="V29">
        <f t="shared" si="22"/>
        <v>1</v>
      </c>
      <c r="W29">
        <f t="shared" si="23"/>
        <v>0</v>
      </c>
      <c r="X29">
        <f t="shared" si="10"/>
        <v>0</v>
      </c>
      <c r="Z29" t="str">
        <f t="shared" si="11"/>
        <v>1.00000025256087-3.02264211687963E-11i</v>
      </c>
      <c r="AA29">
        <f t="shared" si="24"/>
        <v>2.1937155666510632E-6</v>
      </c>
      <c r="AB29">
        <f t="shared" si="12"/>
        <v>-1.731845927339326E-9</v>
      </c>
      <c r="AD29" s="30" t="str">
        <f t="shared" si="13"/>
        <v>0.01005309648i</v>
      </c>
      <c r="AE29" s="30" t="str">
        <f t="shared" si="25"/>
        <v>1+0.01005309648i</v>
      </c>
      <c r="AF29" s="30" t="e">
        <f t="shared" si="14"/>
        <v>#VALUE!</v>
      </c>
      <c r="AG29" t="e">
        <f t="shared" si="15"/>
        <v>#VALUE!</v>
      </c>
      <c r="AH29" t="str">
        <f t="shared" si="26"/>
        <v>1+0.01005309648i</v>
      </c>
      <c r="AI29" s="299" t="e">
        <f t="shared" si="27"/>
        <v>#VALUE!</v>
      </c>
      <c r="AK29" t="e">
        <f t="shared" si="28"/>
        <v>#VALUE!</v>
      </c>
      <c r="AM29" t="e">
        <f t="shared" si="29"/>
        <v>#VALUE!</v>
      </c>
      <c r="AN29" t="e">
        <f t="shared" si="16"/>
        <v>#VALUE!</v>
      </c>
    </row>
    <row r="30" spans="1:40" x14ac:dyDescent="0.25">
      <c r="A30" s="324">
        <v>90</v>
      </c>
      <c r="B30" s="352">
        <f t="shared" si="17"/>
        <v>0.09</v>
      </c>
      <c r="C30" t="str">
        <f t="shared" si="0"/>
        <v>565.486677i</v>
      </c>
      <c r="D30" s="30" t="str">
        <f t="shared" si="1"/>
        <v>-319775.181864502</v>
      </c>
      <c r="E30" s="30" t="str">
        <f t="shared" si="2"/>
        <v>-180828604.979628i</v>
      </c>
      <c r="G30" s="30" t="e">
        <f t="shared" si="3"/>
        <v>#VALUE!</v>
      </c>
      <c r="I30" s="30" t="e">
        <f t="shared" si="4"/>
        <v>#REF!</v>
      </c>
      <c r="J30" t="e">
        <f t="shared" si="18"/>
        <v>#REF!</v>
      </c>
      <c r="L30" s="30" t="e">
        <f t="shared" si="5"/>
        <v>#VALUE!</v>
      </c>
      <c r="M30" t="e">
        <f t="shared" si="6"/>
        <v>#VALUE!</v>
      </c>
      <c r="N30" t="e">
        <f t="shared" si="19"/>
        <v>#REF!</v>
      </c>
      <c r="O30" s="299" t="e">
        <f t="shared" si="20"/>
        <v>#VALUE!</v>
      </c>
      <c r="P30" s="651">
        <v>0</v>
      </c>
      <c r="Q30" s="397" t="str">
        <f t="shared" si="7"/>
        <v>1+0.00019792033695i</v>
      </c>
      <c r="R30" s="397" t="str">
        <f t="shared" si="8"/>
        <v>-2.02274877530212E-11i</v>
      </c>
      <c r="S30" s="397" t="str">
        <f t="shared" si="9"/>
        <v>-3.19647271791756E-07</v>
      </c>
      <c r="T30" s="397" t="str">
        <f t="shared" si="21"/>
        <v>0.999999680352728+0.000197920316722512i</v>
      </c>
      <c r="U30" s="652">
        <v>1</v>
      </c>
      <c r="V30">
        <f t="shared" si="22"/>
        <v>1</v>
      </c>
      <c r="W30">
        <f t="shared" si="23"/>
        <v>0</v>
      </c>
      <c r="X30">
        <f t="shared" si="10"/>
        <v>0</v>
      </c>
      <c r="Z30" t="str">
        <f t="shared" si="11"/>
        <v>1.00000031964737-4.30372335896138E-11i</v>
      </c>
      <c r="AA30">
        <f t="shared" si="24"/>
        <v>2.7764213343660625E-6</v>
      </c>
      <c r="AB30">
        <f t="shared" si="12"/>
        <v>-2.4658510612183728E-9</v>
      </c>
      <c r="AD30" s="30" t="str">
        <f t="shared" si="13"/>
        <v>0.01130973354i</v>
      </c>
      <c r="AE30" s="30" t="str">
        <f t="shared" si="25"/>
        <v>1+0.01130973354i</v>
      </c>
      <c r="AF30" s="30" t="e">
        <f t="shared" si="14"/>
        <v>#VALUE!</v>
      </c>
      <c r="AG30" t="e">
        <f t="shared" si="15"/>
        <v>#VALUE!</v>
      </c>
      <c r="AH30" t="str">
        <f t="shared" si="26"/>
        <v>1+0.01130973354i</v>
      </c>
      <c r="AI30" s="299" t="e">
        <f t="shared" si="27"/>
        <v>#VALUE!</v>
      </c>
      <c r="AK30" t="e">
        <f t="shared" si="28"/>
        <v>#VALUE!</v>
      </c>
      <c r="AM30" t="e">
        <f t="shared" si="29"/>
        <v>#VALUE!</v>
      </c>
      <c r="AN30" t="e">
        <f t="shared" si="16"/>
        <v>#VALUE!</v>
      </c>
    </row>
    <row r="31" spans="1:40" x14ac:dyDescent="0.25">
      <c r="A31" s="335">
        <v>100</v>
      </c>
      <c r="B31" s="352">
        <f t="shared" si="17"/>
        <v>0.1</v>
      </c>
      <c r="C31" t="str">
        <f t="shared" si="0"/>
        <v>628.31853i</v>
      </c>
      <c r="D31" s="30" t="str">
        <f t="shared" si="1"/>
        <v>-394784.175141361</v>
      </c>
      <c r="E31" s="30" t="str">
        <f t="shared" si="2"/>
        <v>-248050212.592082i</v>
      </c>
      <c r="G31" s="30" t="e">
        <f t="shared" si="3"/>
        <v>#VALUE!</v>
      </c>
      <c r="I31" s="30" t="e">
        <f t="shared" si="4"/>
        <v>#REF!</v>
      </c>
      <c r="J31" t="e">
        <f t="shared" si="18"/>
        <v>#REF!</v>
      </c>
      <c r="L31" s="30" t="e">
        <f t="shared" si="5"/>
        <v>#VALUE!</v>
      </c>
      <c r="M31" t="e">
        <f t="shared" si="6"/>
        <v>#VALUE!</v>
      </c>
      <c r="N31" t="e">
        <f t="shared" si="19"/>
        <v>#REF!</v>
      </c>
      <c r="O31" s="299" t="e">
        <f t="shared" si="20"/>
        <v>#VALUE!</v>
      </c>
      <c r="P31" s="651">
        <v>0</v>
      </c>
      <c r="Q31" s="397" t="str">
        <f t="shared" si="7"/>
        <v>1+0.0002199114855i</v>
      </c>
      <c r="R31" s="397" t="str">
        <f t="shared" si="8"/>
        <v>-2.77468967805503E-11i</v>
      </c>
      <c r="S31" s="397" t="str">
        <f t="shared" si="9"/>
        <v>-3.94626261471305E-07</v>
      </c>
      <c r="T31" s="397" t="str">
        <f t="shared" si="21"/>
        <v>0.999999605373739+0.000219911457753103i</v>
      </c>
      <c r="U31" s="652">
        <v>1</v>
      </c>
      <c r="V31">
        <f t="shared" si="22"/>
        <v>1</v>
      </c>
      <c r="W31">
        <f t="shared" si="23"/>
        <v>0</v>
      </c>
      <c r="X31">
        <f t="shared" si="10"/>
        <v>0</v>
      </c>
      <c r="Z31" t="str">
        <f t="shared" si="11"/>
        <v>1.0000003946264-5.90359940073355E-11i</v>
      </c>
      <c r="AA31">
        <f t="shared" si="24"/>
        <v>3.4276806823585146E-6</v>
      </c>
      <c r="AB31">
        <f t="shared" si="12"/>
        <v>-3.382511965016509E-9</v>
      </c>
      <c r="AD31" s="30" t="str">
        <f t="shared" si="13"/>
        <v>0.0125663706i</v>
      </c>
      <c r="AE31" s="30" t="str">
        <f t="shared" si="25"/>
        <v>1+0.0125663706i</v>
      </c>
      <c r="AF31" s="30" t="e">
        <f t="shared" si="14"/>
        <v>#VALUE!</v>
      </c>
      <c r="AG31" t="e">
        <f t="shared" si="15"/>
        <v>#VALUE!</v>
      </c>
      <c r="AH31" t="str">
        <f t="shared" si="26"/>
        <v>1+0.0125663706i</v>
      </c>
      <c r="AI31" s="299" t="e">
        <f t="shared" si="27"/>
        <v>#VALUE!</v>
      </c>
      <c r="AK31" t="e">
        <f t="shared" si="28"/>
        <v>#VALUE!</v>
      </c>
      <c r="AM31" t="e">
        <f t="shared" si="29"/>
        <v>#VALUE!</v>
      </c>
      <c r="AN31" t="e">
        <f t="shared" si="16"/>
        <v>#VALUE!</v>
      </c>
    </row>
    <row r="32" spans="1:40" x14ac:dyDescent="0.25">
      <c r="A32" s="335">
        <v>200</v>
      </c>
      <c r="B32" s="352">
        <f t="shared" si="17"/>
        <v>0.2</v>
      </c>
      <c r="C32" t="str">
        <f t="shared" si="0"/>
        <v>1256.63706i</v>
      </c>
      <c r="D32" s="30" t="str">
        <f t="shared" si="1"/>
        <v>-1579136.70056544</v>
      </c>
      <c r="E32" s="30" t="str">
        <f t="shared" si="2"/>
        <v>-1984401700.73666i</v>
      </c>
      <c r="G32" s="30" t="e">
        <f t="shared" si="3"/>
        <v>#VALUE!</v>
      </c>
      <c r="I32" s="30" t="e">
        <f t="shared" si="4"/>
        <v>#REF!</v>
      </c>
      <c r="J32" t="e">
        <f t="shared" si="18"/>
        <v>#REF!</v>
      </c>
      <c r="L32" s="30" t="e">
        <f t="shared" si="5"/>
        <v>#VALUE!</v>
      </c>
      <c r="M32" t="e">
        <f t="shared" si="6"/>
        <v>#VALUE!</v>
      </c>
      <c r="N32" t="e">
        <f t="shared" si="19"/>
        <v>#REF!</v>
      </c>
      <c r="O32" s="299" t="e">
        <f t="shared" si="20"/>
        <v>#VALUE!</v>
      </c>
      <c r="P32" s="651">
        <v>0</v>
      </c>
      <c r="Q32" s="397" t="str">
        <f t="shared" si="7"/>
        <v>1+0.000439822971i</v>
      </c>
      <c r="R32" s="397" t="str">
        <f t="shared" si="8"/>
        <v>-2.21975174244403E-10i</v>
      </c>
      <c r="S32" s="397" t="str">
        <f t="shared" si="9"/>
        <v>-1.57850504588521E-06</v>
      </c>
      <c r="T32" s="397" t="str">
        <f t="shared" si="21"/>
        <v>0.999998421494954+0.000439822749024826i</v>
      </c>
      <c r="U32" s="652">
        <v>1</v>
      </c>
      <c r="V32">
        <f t="shared" si="22"/>
        <v>1</v>
      </c>
      <c r="W32">
        <f t="shared" si="23"/>
        <v>0</v>
      </c>
      <c r="X32">
        <f t="shared" si="10"/>
        <v>0</v>
      </c>
      <c r="Z32" t="str">
        <f t="shared" si="11"/>
        <v>1.00000157850733-4.72289004721146E-10i</v>
      </c>
      <c r="AA32">
        <f t="shared" si="24"/>
        <v>1.3710729639650269E-5</v>
      </c>
      <c r="AB32">
        <f t="shared" si="12"/>
        <v>-2.7060123997272546E-8</v>
      </c>
      <c r="AD32" s="30" t="str">
        <f t="shared" si="13"/>
        <v>0.0251327412i</v>
      </c>
      <c r="AE32" s="30" t="str">
        <f t="shared" si="25"/>
        <v>1+0.0251327412i</v>
      </c>
      <c r="AF32" s="30" t="e">
        <f t="shared" si="14"/>
        <v>#VALUE!</v>
      </c>
      <c r="AG32" t="e">
        <f t="shared" si="15"/>
        <v>#VALUE!</v>
      </c>
      <c r="AH32" t="str">
        <f t="shared" si="26"/>
        <v>1+0.0251327412i</v>
      </c>
      <c r="AI32" s="299" t="e">
        <f t="shared" si="27"/>
        <v>#VALUE!</v>
      </c>
      <c r="AK32" t="e">
        <f t="shared" si="28"/>
        <v>#VALUE!</v>
      </c>
      <c r="AM32" t="e">
        <f t="shared" si="29"/>
        <v>#VALUE!</v>
      </c>
      <c r="AN32" t="e">
        <f t="shared" si="16"/>
        <v>#VALUE!</v>
      </c>
    </row>
    <row r="33" spans="1:40" x14ac:dyDescent="0.25">
      <c r="A33" s="335">
        <v>300</v>
      </c>
      <c r="B33" s="352">
        <f t="shared" si="17"/>
        <v>0.3</v>
      </c>
      <c r="C33" t="str">
        <f t="shared" si="0"/>
        <v>1884.95559i</v>
      </c>
      <c r="D33" s="30" t="str">
        <f t="shared" si="1"/>
        <v>-3553057.57627225</v>
      </c>
      <c r="E33" s="30" t="str">
        <f t="shared" si="2"/>
        <v>-6697355739.98623i</v>
      </c>
      <c r="G33" s="30" t="e">
        <f t="shared" si="3"/>
        <v>#VALUE!</v>
      </c>
      <c r="I33" s="30" t="e">
        <f t="shared" si="4"/>
        <v>#REF!</v>
      </c>
      <c r="J33" t="e">
        <f t="shared" si="18"/>
        <v>#REF!</v>
      </c>
      <c r="L33" s="30" t="e">
        <f t="shared" si="5"/>
        <v>#VALUE!</v>
      </c>
      <c r="M33" t="e">
        <f t="shared" si="6"/>
        <v>#VALUE!</v>
      </c>
      <c r="N33" t="e">
        <f t="shared" si="19"/>
        <v>#REF!</v>
      </c>
      <c r="O33" s="299" t="e">
        <f t="shared" si="20"/>
        <v>#VALUE!</v>
      </c>
      <c r="P33" s="651">
        <v>0</v>
      </c>
      <c r="Q33" s="397" t="str">
        <f t="shared" si="7"/>
        <v>1+0.0006597344565i</v>
      </c>
      <c r="R33" s="397" t="str">
        <f t="shared" si="8"/>
        <v>-7.4916621307486E-10i</v>
      </c>
      <c r="S33" s="397" t="str">
        <f t="shared" si="9"/>
        <v>-3.55163635324174E-06</v>
      </c>
      <c r="T33" s="397" t="str">
        <f t="shared" si="21"/>
        <v>0.999996448363647+0.000659733707333787i</v>
      </c>
      <c r="U33" s="652">
        <v>1</v>
      </c>
      <c r="V33">
        <f t="shared" si="22"/>
        <v>1</v>
      </c>
      <c r="W33">
        <f t="shared" si="23"/>
        <v>0</v>
      </c>
      <c r="X33">
        <f t="shared" si="10"/>
        <v>0</v>
      </c>
      <c r="Z33" t="str">
        <f t="shared" si="11"/>
        <v>1.00000355164792-1.59398129480179E-09i</v>
      </c>
      <c r="AA33">
        <f t="shared" si="24"/>
        <v>3.084916708360373E-5</v>
      </c>
      <c r="AB33">
        <f t="shared" si="12"/>
        <v>-9.1328076554125626E-8</v>
      </c>
      <c r="AD33" s="30" t="str">
        <f t="shared" si="13"/>
        <v>0.0376991118i</v>
      </c>
      <c r="AE33" s="30" t="str">
        <f t="shared" si="25"/>
        <v>1+0.0376991118i</v>
      </c>
      <c r="AF33" s="30" t="e">
        <f t="shared" si="14"/>
        <v>#VALUE!</v>
      </c>
      <c r="AG33" t="e">
        <f t="shared" si="15"/>
        <v>#VALUE!</v>
      </c>
      <c r="AH33" t="str">
        <f t="shared" si="26"/>
        <v>1+0.0376991118i</v>
      </c>
      <c r="AI33" s="299" t="e">
        <f t="shared" si="27"/>
        <v>#VALUE!</v>
      </c>
      <c r="AK33" t="e">
        <f t="shared" si="28"/>
        <v>#VALUE!</v>
      </c>
      <c r="AM33" t="e">
        <f t="shared" si="29"/>
        <v>#VALUE!</v>
      </c>
      <c r="AN33" t="e">
        <f t="shared" si="16"/>
        <v>#VALUE!</v>
      </c>
    </row>
    <row r="34" spans="1:40" x14ac:dyDescent="0.25">
      <c r="A34" s="335">
        <v>400</v>
      </c>
      <c r="B34" s="352">
        <f t="shared" si="17"/>
        <v>0.4</v>
      </c>
      <c r="C34" t="str">
        <f t="shared" si="0"/>
        <v>2513.27412i</v>
      </c>
      <c r="D34" s="30" t="str">
        <f t="shared" si="1"/>
        <v>-6316546.80226177</v>
      </c>
      <c r="E34" s="30" t="str">
        <f t="shared" si="2"/>
        <v>-15875213605.8933i</v>
      </c>
      <c r="G34" s="30" t="e">
        <f t="shared" si="3"/>
        <v>#VALUE!</v>
      </c>
      <c r="I34" s="30" t="e">
        <f t="shared" si="4"/>
        <v>#REF!</v>
      </c>
      <c r="J34" t="e">
        <f t="shared" si="18"/>
        <v>#REF!</v>
      </c>
      <c r="L34" s="30" t="e">
        <f t="shared" si="5"/>
        <v>#VALUE!</v>
      </c>
      <c r="M34" t="e">
        <f t="shared" si="6"/>
        <v>#VALUE!</v>
      </c>
      <c r="N34" t="e">
        <f t="shared" si="19"/>
        <v>#REF!</v>
      </c>
      <c r="O34" s="299" t="e">
        <f t="shared" si="20"/>
        <v>#VALUE!</v>
      </c>
      <c r="P34" s="651">
        <v>0</v>
      </c>
      <c r="Q34" s="397" t="str">
        <f t="shared" si="7"/>
        <v>1+0.000879645942i</v>
      </c>
      <c r="R34" s="397" t="str">
        <f t="shared" si="8"/>
        <v>-1.77580139395522E-09i</v>
      </c>
      <c r="S34" s="397" t="str">
        <f t="shared" si="9"/>
        <v>-6.31402018354087E-06</v>
      </c>
      <c r="T34" s="397" t="str">
        <f t="shared" si="21"/>
        <v>0.999993685979816+0.000879644166198606i</v>
      </c>
      <c r="U34" s="652">
        <v>1</v>
      </c>
      <c r="V34">
        <f t="shared" si="22"/>
        <v>1</v>
      </c>
      <c r="W34">
        <f t="shared" si="23"/>
        <v>0</v>
      </c>
      <c r="X34">
        <f t="shared" si="10"/>
        <v>0</v>
      </c>
      <c r="Z34" t="str">
        <f t="shared" si="11"/>
        <v>1.00000631405673-3.77834562794476E-09i</v>
      </c>
      <c r="AA34">
        <f t="shared" si="24"/>
        <v>5.4843026783634755E-5</v>
      </c>
      <c r="AB34">
        <f t="shared" si="12"/>
        <v>-2.1648189139136651E-7</v>
      </c>
      <c r="AD34" s="30" t="str">
        <f t="shared" si="13"/>
        <v>0.0502654824i</v>
      </c>
      <c r="AE34" s="30" t="str">
        <f t="shared" si="25"/>
        <v>1+0.0502654824i</v>
      </c>
      <c r="AF34" s="30" t="e">
        <f t="shared" si="14"/>
        <v>#VALUE!</v>
      </c>
      <c r="AG34" t="e">
        <f t="shared" si="15"/>
        <v>#VALUE!</v>
      </c>
      <c r="AH34" t="str">
        <f t="shared" si="26"/>
        <v>1+0.0502654824i</v>
      </c>
      <c r="AI34" s="299" t="e">
        <f t="shared" si="27"/>
        <v>#VALUE!</v>
      </c>
      <c r="AK34" t="e">
        <f t="shared" si="28"/>
        <v>#VALUE!</v>
      </c>
      <c r="AM34" t="e">
        <f t="shared" si="29"/>
        <v>#VALUE!</v>
      </c>
      <c r="AN34" t="e">
        <f t="shared" si="16"/>
        <v>#VALUE!</v>
      </c>
    </row>
    <row r="35" spans="1:40" x14ac:dyDescent="0.25">
      <c r="A35" s="335">
        <v>500</v>
      </c>
      <c r="B35" s="352">
        <f t="shared" si="17"/>
        <v>0.5</v>
      </c>
      <c r="C35" t="str">
        <f t="shared" si="0"/>
        <v>3141.59265i</v>
      </c>
      <c r="D35" s="30" t="str">
        <f t="shared" si="1"/>
        <v>-9869604.37853402</v>
      </c>
      <c r="E35" s="30" t="str">
        <f t="shared" si="2"/>
        <v>-31006276574.0103i</v>
      </c>
      <c r="G35" s="30" t="e">
        <f t="shared" si="3"/>
        <v>#VALUE!</v>
      </c>
      <c r="I35" s="30" t="e">
        <f t="shared" si="4"/>
        <v>#REF!</v>
      </c>
      <c r="J35" t="e">
        <f t="shared" si="18"/>
        <v>#REF!</v>
      </c>
      <c r="L35" s="30" t="e">
        <f t="shared" si="5"/>
        <v>#VALUE!</v>
      </c>
      <c r="M35" t="e">
        <f t="shared" si="6"/>
        <v>#VALUE!</v>
      </c>
      <c r="N35" t="e">
        <f t="shared" si="19"/>
        <v>#REF!</v>
      </c>
      <c r="O35" s="299" t="e">
        <f t="shared" si="20"/>
        <v>#VALUE!</v>
      </c>
      <c r="P35" s="651">
        <v>0</v>
      </c>
      <c r="Q35" s="397" t="str">
        <f t="shared" si="7"/>
        <v>1+0.0010995574275i</v>
      </c>
      <c r="R35" s="397" t="str">
        <f t="shared" si="8"/>
        <v>-3.46836209756879E-09i</v>
      </c>
      <c r="S35" s="397" t="str">
        <f t="shared" si="9"/>
        <v>-9.86565653678261E-06</v>
      </c>
      <c r="T35" s="397" t="str">
        <f t="shared" si="21"/>
        <v>0.999990134343463+0.0010995539591379i</v>
      </c>
      <c r="U35" s="652">
        <v>1</v>
      </c>
      <c r="V35">
        <f t="shared" si="22"/>
        <v>1</v>
      </c>
      <c r="W35">
        <f t="shared" si="23"/>
        <v>0</v>
      </c>
      <c r="X35">
        <f t="shared" si="10"/>
        <v>0</v>
      </c>
      <c r="Z35" t="str">
        <f t="shared" si="11"/>
        <v>1.00000986574575-7.37963050952798E-09i</v>
      </c>
      <c r="AA35">
        <f t="shared" si="24"/>
        <v>8.5692356072072088E-5</v>
      </c>
      <c r="AB35">
        <f t="shared" si="12"/>
        <v>-4.228175116350063E-7</v>
      </c>
      <c r="AD35" s="30" t="str">
        <f t="shared" si="13"/>
        <v>0.062831853i</v>
      </c>
      <c r="AE35" s="30" t="str">
        <f t="shared" si="25"/>
        <v>1+0.062831853i</v>
      </c>
      <c r="AF35" s="30" t="e">
        <f t="shared" si="14"/>
        <v>#VALUE!</v>
      </c>
      <c r="AG35" t="e">
        <f t="shared" si="15"/>
        <v>#VALUE!</v>
      </c>
      <c r="AH35" t="str">
        <f t="shared" si="26"/>
        <v>1+0.062831853i</v>
      </c>
      <c r="AI35" s="299" t="e">
        <f t="shared" si="27"/>
        <v>#VALUE!</v>
      </c>
      <c r="AK35" t="e">
        <f t="shared" si="28"/>
        <v>#VALUE!</v>
      </c>
      <c r="AM35" t="e">
        <f t="shared" si="29"/>
        <v>#VALUE!</v>
      </c>
      <c r="AN35" t="e">
        <f t="shared" si="16"/>
        <v>#VALUE!</v>
      </c>
    </row>
    <row r="36" spans="1:40" x14ac:dyDescent="0.25">
      <c r="A36" s="335">
        <v>600</v>
      </c>
      <c r="B36" s="352">
        <f t="shared" si="17"/>
        <v>0.6</v>
      </c>
      <c r="C36" t="str">
        <f t="shared" si="0"/>
        <v>3769.91118i</v>
      </c>
      <c r="D36" s="30" t="str">
        <f t="shared" si="1"/>
        <v>-14212230.305089</v>
      </c>
      <c r="E36" s="30" t="str">
        <f t="shared" si="2"/>
        <v>-53578845919.8898i</v>
      </c>
      <c r="G36" s="30" t="e">
        <f t="shared" si="3"/>
        <v>#VALUE!</v>
      </c>
      <c r="I36" s="30" t="e">
        <f t="shared" si="4"/>
        <v>#REF!</v>
      </c>
      <c r="J36" t="e">
        <f t="shared" si="18"/>
        <v>#REF!</v>
      </c>
      <c r="L36" s="30" t="e">
        <f t="shared" si="5"/>
        <v>#VALUE!</v>
      </c>
      <c r="M36" t="e">
        <f t="shared" si="6"/>
        <v>#VALUE!</v>
      </c>
      <c r="N36" t="e">
        <f t="shared" si="19"/>
        <v>#REF!</v>
      </c>
      <c r="O36" s="299" t="e">
        <f t="shared" si="20"/>
        <v>#VALUE!</v>
      </c>
      <c r="P36" s="651">
        <v>0</v>
      </c>
      <c r="Q36" s="397" t="str">
        <f t="shared" si="7"/>
        <v>1+0.001319468913i</v>
      </c>
      <c r="R36" s="397" t="str">
        <f t="shared" si="8"/>
        <v>-5.99332970459887E-09i</v>
      </c>
      <c r="S36" s="397" t="str">
        <f t="shared" si="9"/>
        <v>-0.000014206545412967</v>
      </c>
      <c r="T36" s="397" t="str">
        <f t="shared" si="21"/>
        <v>0.999985793454587+0.0013194629196703i</v>
      </c>
      <c r="U36" s="652">
        <v>1</v>
      </c>
      <c r="V36">
        <f t="shared" si="22"/>
        <v>1</v>
      </c>
      <c r="W36">
        <f t="shared" si="23"/>
        <v>0</v>
      </c>
      <c r="X36">
        <f t="shared" si="10"/>
        <v>0</v>
      </c>
      <c r="Z36" t="str">
        <f t="shared" si="11"/>
        <v>1.00001420673042-1.27521054564846E-08i</v>
      </c>
      <c r="AA36">
        <f t="shared" si="24"/>
        <v>1.2339721601309145E-4</v>
      </c>
      <c r="AB36">
        <f t="shared" si="12"/>
        <v>-7.3063144351324126E-7</v>
      </c>
      <c r="AD36" s="30" t="str">
        <f t="shared" si="13"/>
        <v>0.0753982236i</v>
      </c>
      <c r="AE36" s="30" t="str">
        <f t="shared" si="25"/>
        <v>1+0.0753982236i</v>
      </c>
      <c r="AF36" s="30" t="e">
        <f t="shared" si="14"/>
        <v>#VALUE!</v>
      </c>
      <c r="AG36" t="e">
        <f t="shared" si="15"/>
        <v>#VALUE!</v>
      </c>
      <c r="AH36" t="str">
        <f t="shared" si="26"/>
        <v>1+0.0753982236i</v>
      </c>
      <c r="AI36" s="299" t="e">
        <f t="shared" si="27"/>
        <v>#VALUE!</v>
      </c>
      <c r="AK36" t="e">
        <f t="shared" si="28"/>
        <v>#VALUE!</v>
      </c>
      <c r="AM36" t="e">
        <f t="shared" si="29"/>
        <v>#VALUE!</v>
      </c>
      <c r="AN36" t="e">
        <f t="shared" si="16"/>
        <v>#VALUE!</v>
      </c>
    </row>
    <row r="37" spans="1:40" x14ac:dyDescent="0.25">
      <c r="A37" s="335">
        <v>700</v>
      </c>
      <c r="B37" s="352">
        <f t="shared" si="17"/>
        <v>0.7</v>
      </c>
      <c r="C37" t="str">
        <f t="shared" si="0"/>
        <v>4398.22971i</v>
      </c>
      <c r="D37" s="30" t="str">
        <f t="shared" si="1"/>
        <v>-19344424.5819267</v>
      </c>
      <c r="E37" s="30" t="str">
        <f t="shared" si="2"/>
        <v>-85081222919.0843i</v>
      </c>
      <c r="G37" s="30" t="e">
        <f t="shared" si="3"/>
        <v>#VALUE!</v>
      </c>
      <c r="I37" s="30" t="e">
        <f t="shared" si="4"/>
        <v>#REF!</v>
      </c>
      <c r="J37" t="e">
        <f t="shared" si="18"/>
        <v>#REF!</v>
      </c>
      <c r="L37" s="30" t="e">
        <f t="shared" si="5"/>
        <v>#VALUE!</v>
      </c>
      <c r="M37" t="e">
        <f t="shared" si="6"/>
        <v>#VALUE!</v>
      </c>
      <c r="N37" t="e">
        <f t="shared" si="19"/>
        <v>#REF!</v>
      </c>
      <c r="O37" s="299" t="e">
        <f t="shared" si="20"/>
        <v>#VALUE!</v>
      </c>
      <c r="P37" s="651">
        <v>0</v>
      </c>
      <c r="Q37" s="397" t="str">
        <f t="shared" si="7"/>
        <v>1+0.0015393803985i</v>
      </c>
      <c r="R37" s="397" t="str">
        <f t="shared" si="8"/>
        <v>-9.51718559572877E-09i</v>
      </c>
      <c r="S37" s="397" t="str">
        <f t="shared" si="9"/>
        <v>-0.0000193366868120939</v>
      </c>
      <c r="T37" s="397" t="str">
        <f t="shared" si="21"/>
        <v>0.999980663313188+0.0015393708813144i</v>
      </c>
      <c r="U37" s="652">
        <v>1</v>
      </c>
      <c r="V37">
        <f t="shared" si="22"/>
        <v>1</v>
      </c>
      <c r="W37">
        <f t="shared" si="23"/>
        <v>0</v>
      </c>
      <c r="X37">
        <f t="shared" si="10"/>
        <v>0</v>
      </c>
      <c r="Z37" t="str">
        <f t="shared" si="11"/>
        <v>1.00001933702955-2.02500661951286E-08i</v>
      </c>
      <c r="AA37">
        <f t="shared" si="24"/>
        <v>1.6795768070547058E-4</v>
      </c>
      <c r="AB37">
        <f t="shared" si="12"/>
        <v>-1.1602208939414706E-6</v>
      </c>
      <c r="AD37" s="30" t="str">
        <f t="shared" si="13"/>
        <v>0.0879645942i</v>
      </c>
      <c r="AE37" s="30" t="str">
        <f t="shared" si="25"/>
        <v>1+0.0879645942i</v>
      </c>
      <c r="AF37" s="30" t="e">
        <f t="shared" si="14"/>
        <v>#VALUE!</v>
      </c>
      <c r="AG37" t="e">
        <f t="shared" si="15"/>
        <v>#VALUE!</v>
      </c>
      <c r="AH37" t="str">
        <f t="shared" si="26"/>
        <v>1+0.0879645942i</v>
      </c>
      <c r="AI37" s="299" t="e">
        <f t="shared" si="27"/>
        <v>#VALUE!</v>
      </c>
      <c r="AK37" t="e">
        <f t="shared" si="28"/>
        <v>#VALUE!</v>
      </c>
      <c r="AM37" t="e">
        <f t="shared" si="29"/>
        <v>#VALUE!</v>
      </c>
      <c r="AN37" t="e">
        <f t="shared" si="16"/>
        <v>#VALUE!</v>
      </c>
    </row>
    <row r="38" spans="1:40" x14ac:dyDescent="0.25">
      <c r="A38" s="335">
        <v>800</v>
      </c>
      <c r="B38" s="352">
        <f t="shared" si="17"/>
        <v>0.8</v>
      </c>
      <c r="C38" t="str">
        <f t="shared" si="0"/>
        <v>5026.54824i</v>
      </c>
      <c r="D38" s="30" t="str">
        <f t="shared" si="1"/>
        <v>-25266187.2090471</v>
      </c>
      <c r="E38" s="30" t="str">
        <f t="shared" si="2"/>
        <v>-127001708847.146i</v>
      </c>
      <c r="G38" s="30" t="e">
        <f t="shared" si="3"/>
        <v>#VALUE!</v>
      </c>
      <c r="I38" s="30" t="e">
        <f t="shared" si="4"/>
        <v>#REF!</v>
      </c>
      <c r="J38" t="e">
        <f t="shared" si="18"/>
        <v>#REF!</v>
      </c>
      <c r="L38" s="30" t="e">
        <f t="shared" si="5"/>
        <v>#VALUE!</v>
      </c>
      <c r="M38" t="e">
        <f t="shared" si="6"/>
        <v>#VALUE!</v>
      </c>
      <c r="N38" t="e">
        <f t="shared" si="19"/>
        <v>#REF!</v>
      </c>
      <c r="O38" s="299" t="e">
        <f t="shared" si="20"/>
        <v>#VALUE!</v>
      </c>
      <c r="P38" s="651">
        <v>0</v>
      </c>
      <c r="Q38" s="397" t="str">
        <f t="shared" si="7"/>
        <v>1+0.001759291884i</v>
      </c>
      <c r="R38" s="397" t="str">
        <f t="shared" si="8"/>
        <v>-1.42064111516417E-08i</v>
      </c>
      <c r="S38" s="397" t="str">
        <f t="shared" si="9"/>
        <v>-0.0000252560807341635</v>
      </c>
      <c r="T38" s="397" t="str">
        <f t="shared" si="21"/>
        <v>0.999974743919266+0.00175927767758885i</v>
      </c>
      <c r="U38" s="652">
        <v>1</v>
      </c>
      <c r="V38">
        <f t="shared" si="22"/>
        <v>1</v>
      </c>
      <c r="W38">
        <f t="shared" si="23"/>
        <v>0</v>
      </c>
      <c r="X38">
        <f t="shared" si="10"/>
        <v>0</v>
      </c>
      <c r="Z38" t="str">
        <f t="shared" si="11"/>
        <v>1.00002525666544-3.02278400042037E-08i</v>
      </c>
      <c r="AA38">
        <f t="shared" si="24"/>
        <v>2.1937383832667357E-4</v>
      </c>
      <c r="AB38">
        <f t="shared" si="12"/>
        <v>-1.7318839164039424E-6</v>
      </c>
      <c r="AD38" s="30" t="str">
        <f t="shared" si="13"/>
        <v>0.1005309648i</v>
      </c>
      <c r="AE38" s="30" t="str">
        <f t="shared" si="25"/>
        <v>1+0.1005309648i</v>
      </c>
      <c r="AF38" s="30" t="e">
        <f t="shared" si="14"/>
        <v>#VALUE!</v>
      </c>
      <c r="AG38" t="e">
        <f t="shared" si="15"/>
        <v>#VALUE!</v>
      </c>
      <c r="AH38" t="str">
        <f t="shared" si="26"/>
        <v>1+0.1005309648i</v>
      </c>
      <c r="AI38" s="299" t="e">
        <f t="shared" si="27"/>
        <v>#VALUE!</v>
      </c>
      <c r="AK38" t="e">
        <f t="shared" si="28"/>
        <v>#VALUE!</v>
      </c>
      <c r="AM38" t="e">
        <f t="shared" si="29"/>
        <v>#VALUE!</v>
      </c>
      <c r="AN38" t="e">
        <f t="shared" si="16"/>
        <v>#VALUE!</v>
      </c>
    </row>
    <row r="39" spans="1:40" x14ac:dyDescent="0.25">
      <c r="A39" s="335">
        <v>900</v>
      </c>
      <c r="B39" s="352">
        <f t="shared" si="17"/>
        <v>0.9</v>
      </c>
      <c r="C39" t="str">
        <f t="shared" si="0"/>
        <v>5654.86677i</v>
      </c>
      <c r="D39" s="30" t="str">
        <f t="shared" si="1"/>
        <v>-31977518.1864502</v>
      </c>
      <c r="E39" s="30" t="str">
        <f t="shared" si="2"/>
        <v>-180828604979.628i</v>
      </c>
      <c r="G39" s="30" t="e">
        <f t="shared" si="3"/>
        <v>#VALUE!</v>
      </c>
      <c r="I39" s="30" t="e">
        <f t="shared" si="4"/>
        <v>#REF!</v>
      </c>
      <c r="J39" t="e">
        <f t="shared" si="18"/>
        <v>#REF!</v>
      </c>
      <c r="L39" s="30" t="e">
        <f t="shared" si="5"/>
        <v>#VALUE!</v>
      </c>
      <c r="M39" t="e">
        <f t="shared" si="6"/>
        <v>#VALUE!</v>
      </c>
      <c r="N39" t="e">
        <f t="shared" si="19"/>
        <v>#REF!</v>
      </c>
      <c r="O39" s="299" t="e">
        <f t="shared" si="20"/>
        <v>#VALUE!</v>
      </c>
      <c r="P39" s="651">
        <v>0</v>
      </c>
      <c r="Q39" s="397" t="str">
        <f t="shared" si="7"/>
        <v>1+0.0019792033695i</v>
      </c>
      <c r="R39" s="397" t="str">
        <f t="shared" si="8"/>
        <v>-2.02274877530212E-08i</v>
      </c>
      <c r="S39" s="397" t="str">
        <f t="shared" si="9"/>
        <v>-0.0000319647271791756</v>
      </c>
      <c r="T39" s="397" t="str">
        <f t="shared" si="21"/>
        <v>0.999968035272821+0.00197918314201225i</v>
      </c>
      <c r="U39" s="652">
        <v>1</v>
      </c>
      <c r="V39">
        <f t="shared" si="22"/>
        <v>1</v>
      </c>
      <c r="W39">
        <f t="shared" si="23"/>
        <v>0</v>
      </c>
      <c r="X39">
        <f t="shared" si="10"/>
        <v>0</v>
      </c>
      <c r="Z39" t="str">
        <f t="shared" si="11"/>
        <v>1.00003196566377-4.30397908600739E-08i</v>
      </c>
      <c r="AA39">
        <f t="shared" si="24"/>
        <v>2.7764579017865241E-4</v>
      </c>
      <c r="AB39">
        <f t="shared" si="12"/>
        <v>-2.4659195454707077E-6</v>
      </c>
      <c r="AD39" s="30" t="str">
        <f t="shared" si="13"/>
        <v>0.1130973354i</v>
      </c>
      <c r="AE39" s="30" t="str">
        <f t="shared" si="25"/>
        <v>1+0.1130973354i</v>
      </c>
      <c r="AF39" s="30" t="e">
        <f t="shared" si="14"/>
        <v>#VALUE!</v>
      </c>
      <c r="AG39" t="e">
        <f t="shared" si="15"/>
        <v>#VALUE!</v>
      </c>
      <c r="AH39" t="str">
        <f t="shared" si="26"/>
        <v>1+0.1130973354i</v>
      </c>
      <c r="AI39" s="299" t="e">
        <f t="shared" si="27"/>
        <v>#VALUE!</v>
      </c>
      <c r="AK39" t="e">
        <f t="shared" si="28"/>
        <v>#VALUE!</v>
      </c>
      <c r="AM39" t="e">
        <f t="shared" si="29"/>
        <v>#VALUE!</v>
      </c>
      <c r="AN39" t="e">
        <f t="shared" si="16"/>
        <v>#VALUE!</v>
      </c>
    </row>
    <row r="40" spans="1:40" x14ac:dyDescent="0.25">
      <c r="A40" s="335">
        <v>1000</v>
      </c>
      <c r="B40" s="352">
        <f t="shared" si="17"/>
        <v>1</v>
      </c>
      <c r="C40" t="str">
        <f t="shared" si="0"/>
        <v>6283.1853i</v>
      </c>
      <c r="D40" s="30" t="str">
        <f t="shared" si="1"/>
        <v>-39478417.5141361</v>
      </c>
      <c r="E40" s="30" t="str">
        <f t="shared" si="2"/>
        <v>-248050212592.082i</v>
      </c>
      <c r="G40" s="30" t="e">
        <f t="shared" si="3"/>
        <v>#VALUE!</v>
      </c>
      <c r="I40" s="30" t="e">
        <f t="shared" si="4"/>
        <v>#REF!</v>
      </c>
      <c r="J40" t="e">
        <f t="shared" si="18"/>
        <v>#REF!</v>
      </c>
      <c r="L40" s="30" t="e">
        <f t="shared" si="5"/>
        <v>#VALUE!</v>
      </c>
      <c r="M40" t="e">
        <f t="shared" si="6"/>
        <v>#VALUE!</v>
      </c>
      <c r="N40" t="e">
        <f t="shared" si="19"/>
        <v>#REF!</v>
      </c>
      <c r="O40" s="299" t="e">
        <f t="shared" si="20"/>
        <v>#VALUE!</v>
      </c>
      <c r="P40" s="651">
        <v>0</v>
      </c>
      <c r="Q40" s="397" t="str">
        <f t="shared" si="7"/>
        <v>1+0.002199114855i</v>
      </c>
      <c r="R40" s="397" t="str">
        <f t="shared" si="8"/>
        <v>-2.77468967805503E-08i</v>
      </c>
      <c r="S40" s="397" t="str">
        <f t="shared" si="9"/>
        <v>-0.0000394626261471304</v>
      </c>
      <c r="T40" s="397" t="str">
        <f t="shared" si="21"/>
        <v>0.999960537373853+0.00219908710810322i</v>
      </c>
      <c r="U40" s="652">
        <v>1</v>
      </c>
      <c r="V40">
        <f t="shared" si="22"/>
        <v>1</v>
      </c>
      <c r="W40">
        <f t="shared" si="23"/>
        <v>0</v>
      </c>
      <c r="X40">
        <f t="shared" si="10"/>
        <v>0</v>
      </c>
      <c r="Z40" t="str">
        <f t="shared" si="11"/>
        <v>1.00003946405367-5.90403247598128E-08i</v>
      </c>
      <c r="AA40">
        <f t="shared" si="24"/>
        <v>3.4277365128982361E-4</v>
      </c>
      <c r="AB40">
        <f t="shared" si="12"/>
        <v>-3.3826279414737456E-6</v>
      </c>
      <c r="AD40" s="30" t="str">
        <f t="shared" si="13"/>
        <v>0.125663706i</v>
      </c>
      <c r="AE40" s="30" t="str">
        <f t="shared" si="25"/>
        <v>1+0.125663706i</v>
      </c>
      <c r="AF40" s="30" t="e">
        <f t="shared" si="14"/>
        <v>#VALUE!</v>
      </c>
      <c r="AG40" t="e">
        <f t="shared" si="15"/>
        <v>#VALUE!</v>
      </c>
      <c r="AH40" t="str">
        <f t="shared" si="26"/>
        <v>1+0.125663706i</v>
      </c>
      <c r="AI40" s="299" t="e">
        <f t="shared" si="27"/>
        <v>#VALUE!</v>
      </c>
      <c r="AK40" t="e">
        <f t="shared" si="28"/>
        <v>#VALUE!</v>
      </c>
      <c r="AM40" t="e">
        <f t="shared" si="29"/>
        <v>#VALUE!</v>
      </c>
      <c r="AN40" t="e">
        <f t="shared" si="16"/>
        <v>#VALUE!</v>
      </c>
    </row>
    <row r="41" spans="1:40" x14ac:dyDescent="0.25">
      <c r="A41" s="335">
        <v>2000</v>
      </c>
      <c r="B41" s="352">
        <f t="shared" si="17"/>
        <v>2</v>
      </c>
      <c r="C41" t="str">
        <f t="shared" si="0"/>
        <v>12566.3706i</v>
      </c>
      <c r="D41" s="30" t="str">
        <f t="shared" si="1"/>
        <v>-157913670.056544</v>
      </c>
      <c r="E41" s="30" t="str">
        <f t="shared" si="2"/>
        <v>-1984401700736.66i</v>
      </c>
      <c r="G41" s="30" t="e">
        <f t="shared" si="3"/>
        <v>#VALUE!</v>
      </c>
      <c r="I41" s="30" t="e">
        <f t="shared" si="4"/>
        <v>#REF!</v>
      </c>
      <c r="J41" t="e">
        <f t="shared" si="18"/>
        <v>#REF!</v>
      </c>
      <c r="L41" s="30" t="e">
        <f t="shared" si="5"/>
        <v>#VALUE!</v>
      </c>
      <c r="M41" t="e">
        <f t="shared" si="6"/>
        <v>#VALUE!</v>
      </c>
      <c r="N41" t="e">
        <f t="shared" si="19"/>
        <v>#REF!</v>
      </c>
      <c r="O41" s="299" t="e">
        <f t="shared" si="20"/>
        <v>#VALUE!</v>
      </c>
      <c r="P41" s="651">
        <v>0</v>
      </c>
      <c r="Q41" s="397" t="str">
        <f t="shared" si="7"/>
        <v>1+0.00439822971i</v>
      </c>
      <c r="R41" s="397" t="str">
        <f t="shared" si="8"/>
        <v>-2.21975174244403E-07i</v>
      </c>
      <c r="S41" s="397" t="str">
        <f t="shared" si="9"/>
        <v>-0.000157850504588521</v>
      </c>
      <c r="T41" s="397" t="str">
        <f t="shared" si="21"/>
        <v>0.999842149495412+0.00439800773482576i</v>
      </c>
      <c r="U41" s="652">
        <v>1</v>
      </c>
      <c r="V41">
        <f t="shared" si="22"/>
        <v>1</v>
      </c>
      <c r="W41">
        <f t="shared" si="23"/>
        <v>0</v>
      </c>
      <c r="X41">
        <f t="shared" si="10"/>
        <v>0</v>
      </c>
      <c r="Z41" t="str">
        <f t="shared" si="11"/>
        <v>1.00015787334724-4.72427600959129E-07i</v>
      </c>
      <c r="AA41">
        <f t="shared" si="24"/>
        <v>1.3711622397485389E-3</v>
      </c>
      <c r="AB41">
        <f t="shared" si="12"/>
        <v>-2.7063835033150666E-5</v>
      </c>
      <c r="AD41" s="30" t="str">
        <f t="shared" si="13"/>
        <v>0.251327412i</v>
      </c>
      <c r="AE41" s="30" t="str">
        <f t="shared" si="25"/>
        <v>1+0.251327412i</v>
      </c>
      <c r="AF41" s="30" t="e">
        <f t="shared" si="14"/>
        <v>#VALUE!</v>
      </c>
      <c r="AG41" t="e">
        <f t="shared" si="15"/>
        <v>#VALUE!</v>
      </c>
      <c r="AH41" t="str">
        <f t="shared" si="26"/>
        <v>1+0.251327412i</v>
      </c>
      <c r="AI41" s="299" t="e">
        <f t="shared" si="27"/>
        <v>#VALUE!</v>
      </c>
      <c r="AK41" t="e">
        <f t="shared" si="28"/>
        <v>#VALUE!</v>
      </c>
      <c r="AM41" t="e">
        <f t="shared" si="29"/>
        <v>#VALUE!</v>
      </c>
      <c r="AN41" t="e">
        <f t="shared" si="16"/>
        <v>#VALUE!</v>
      </c>
    </row>
    <row r="42" spans="1:40" x14ac:dyDescent="0.25">
      <c r="A42" s="335">
        <v>3000</v>
      </c>
      <c r="B42" s="352">
        <f t="shared" si="17"/>
        <v>3</v>
      </c>
      <c r="C42" t="str">
        <f t="shared" si="0"/>
        <v>18849.5559i</v>
      </c>
      <c r="D42" s="30" t="str">
        <f t="shared" si="1"/>
        <v>-355305757.627225</v>
      </c>
      <c r="E42" s="30" t="str">
        <f t="shared" si="2"/>
        <v>-6697355739986.23i</v>
      </c>
      <c r="G42" s="30" t="e">
        <f t="shared" si="3"/>
        <v>#VALUE!</v>
      </c>
      <c r="I42" s="30" t="e">
        <f t="shared" si="4"/>
        <v>#REF!</v>
      </c>
      <c r="J42" t="e">
        <f t="shared" si="18"/>
        <v>#REF!</v>
      </c>
      <c r="L42" s="30" t="e">
        <f t="shared" si="5"/>
        <v>#VALUE!</v>
      </c>
      <c r="M42" t="e">
        <f t="shared" si="6"/>
        <v>#VALUE!</v>
      </c>
      <c r="N42" t="e">
        <f t="shared" si="19"/>
        <v>#REF!</v>
      </c>
      <c r="O42" s="299" t="e">
        <f t="shared" si="20"/>
        <v>#VALUE!</v>
      </c>
      <c r="P42" s="651">
        <v>0</v>
      </c>
      <c r="Q42" s="397" t="str">
        <f t="shared" si="7"/>
        <v>1+0.006597344565i</v>
      </c>
      <c r="R42" s="397" t="str">
        <f t="shared" si="8"/>
        <v>-7.4916621307486E-07i</v>
      </c>
      <c r="S42" s="397" t="str">
        <f t="shared" si="9"/>
        <v>-0.000355163635324174</v>
      </c>
      <c r="T42" s="397" t="str">
        <f t="shared" si="21"/>
        <v>0.999644836364676+0.00659659539878692i</v>
      </c>
      <c r="U42" s="652">
        <v>1</v>
      </c>
      <c r="V42">
        <f t="shared" si="22"/>
        <v>1</v>
      </c>
      <c r="W42">
        <f t="shared" si="23"/>
        <v>0</v>
      </c>
      <c r="X42">
        <f t="shared" si="10"/>
        <v>0</v>
      </c>
      <c r="Z42" t="str">
        <f t="shared" si="11"/>
        <v>1.00035527929582-1.59503405307709E-06i</v>
      </c>
      <c r="AA42">
        <f t="shared" si="24"/>
        <v>3.0853687138606856E-3</v>
      </c>
      <c r="AB42">
        <f t="shared" si="12"/>
        <v>-9.135626253668961E-5</v>
      </c>
      <c r="AD42" s="30" t="str">
        <f t="shared" si="13"/>
        <v>0.376991118i</v>
      </c>
      <c r="AE42" s="30" t="str">
        <f t="shared" si="25"/>
        <v>1+0.376991118i</v>
      </c>
      <c r="AF42" s="30" t="e">
        <f t="shared" si="14"/>
        <v>#VALUE!</v>
      </c>
      <c r="AG42" t="e">
        <f t="shared" si="15"/>
        <v>#VALUE!</v>
      </c>
      <c r="AH42" t="str">
        <f t="shared" si="26"/>
        <v>1+0.376991118i</v>
      </c>
      <c r="AI42" s="299" t="e">
        <f t="shared" si="27"/>
        <v>#VALUE!</v>
      </c>
      <c r="AK42" t="e">
        <f t="shared" si="28"/>
        <v>#VALUE!</v>
      </c>
      <c r="AM42" t="e">
        <f t="shared" si="29"/>
        <v>#VALUE!</v>
      </c>
      <c r="AN42" t="e">
        <f t="shared" si="16"/>
        <v>#VALUE!</v>
      </c>
    </row>
    <row r="43" spans="1:40" x14ac:dyDescent="0.25">
      <c r="A43" s="335">
        <v>4000</v>
      </c>
      <c r="B43" s="352">
        <f t="shared" si="17"/>
        <v>4</v>
      </c>
      <c r="C43" t="str">
        <f t="shared" si="0"/>
        <v>25132.7412i</v>
      </c>
      <c r="D43" s="30" t="str">
        <f t="shared" si="1"/>
        <v>-631654680.226177</v>
      </c>
      <c r="E43" s="30" t="str">
        <f t="shared" si="2"/>
        <v>-15875213605893.3i</v>
      </c>
      <c r="G43" s="30" t="e">
        <f t="shared" si="3"/>
        <v>#VALUE!</v>
      </c>
      <c r="I43" s="30" t="e">
        <f t="shared" si="4"/>
        <v>#REF!</v>
      </c>
      <c r="J43" t="e">
        <f t="shared" si="18"/>
        <v>#REF!</v>
      </c>
      <c r="L43" s="30" t="e">
        <f t="shared" si="5"/>
        <v>#VALUE!</v>
      </c>
      <c r="M43" t="e">
        <f t="shared" si="6"/>
        <v>#VALUE!</v>
      </c>
      <c r="N43" t="e">
        <f t="shared" si="19"/>
        <v>#REF!</v>
      </c>
      <c r="O43" s="299" t="e">
        <f t="shared" si="20"/>
        <v>#VALUE!</v>
      </c>
      <c r="P43" s="651">
        <v>0</v>
      </c>
      <c r="Q43" s="397" t="str">
        <f t="shared" si="7"/>
        <v>1+0.00879645942i</v>
      </c>
      <c r="R43" s="397" t="str">
        <f t="shared" si="8"/>
        <v>-1.77580139395522E-06i</v>
      </c>
      <c r="S43" s="397" t="str">
        <f t="shared" si="9"/>
        <v>-0.000631402018354087</v>
      </c>
      <c r="T43" s="397" t="str">
        <f t="shared" si="21"/>
        <v>0.999368597981646+0.00879468361860604i</v>
      </c>
      <c r="U43" s="652">
        <v>1</v>
      </c>
      <c r="V43">
        <f t="shared" si="22"/>
        <v>1</v>
      </c>
      <c r="W43">
        <f t="shared" si="23"/>
        <v>0</v>
      </c>
      <c r="X43">
        <f t="shared" si="10"/>
        <v>0</v>
      </c>
      <c r="Z43" t="str">
        <f t="shared" si="11"/>
        <v>1.00063176764934-3.78278365967147E-06i</v>
      </c>
      <c r="AA43">
        <f t="shared" si="24"/>
        <v>5.4857314697180446E-3</v>
      </c>
      <c r="AB43">
        <f t="shared" si="12"/>
        <v>-2.1660069744338419E-4</v>
      </c>
      <c r="AD43" s="30" t="str">
        <f t="shared" si="13"/>
        <v>0.502654824i</v>
      </c>
      <c r="AE43" s="30" t="str">
        <f t="shared" si="25"/>
        <v>1+0.502654824i</v>
      </c>
      <c r="AF43" s="30" t="e">
        <f t="shared" si="14"/>
        <v>#VALUE!</v>
      </c>
      <c r="AG43" t="e">
        <f t="shared" si="15"/>
        <v>#VALUE!</v>
      </c>
      <c r="AH43" t="str">
        <f t="shared" si="26"/>
        <v>1+0.502654824i</v>
      </c>
      <c r="AI43" s="299" t="e">
        <f t="shared" si="27"/>
        <v>#VALUE!</v>
      </c>
      <c r="AK43" t="e">
        <f t="shared" si="28"/>
        <v>#VALUE!</v>
      </c>
      <c r="AM43" t="e">
        <f t="shared" si="29"/>
        <v>#VALUE!</v>
      </c>
      <c r="AN43" t="e">
        <f t="shared" si="16"/>
        <v>#VALUE!</v>
      </c>
    </row>
    <row r="44" spans="1:40" x14ac:dyDescent="0.25">
      <c r="A44" s="335">
        <v>5000</v>
      </c>
      <c r="B44" s="352">
        <f t="shared" si="17"/>
        <v>5</v>
      </c>
      <c r="C44" t="str">
        <f t="shared" si="0"/>
        <v>31415.9265i</v>
      </c>
      <c r="D44" s="30" t="str">
        <f t="shared" si="1"/>
        <v>-986960437.853402</v>
      </c>
      <c r="E44" s="30" t="str">
        <f t="shared" si="2"/>
        <v>-31006276574010.3i</v>
      </c>
      <c r="G44" s="30" t="e">
        <f t="shared" si="3"/>
        <v>#VALUE!</v>
      </c>
      <c r="I44" s="30" t="e">
        <f t="shared" si="4"/>
        <v>#REF!</v>
      </c>
      <c r="J44" t="e">
        <f t="shared" si="18"/>
        <v>#REF!</v>
      </c>
      <c r="L44" s="30" t="e">
        <f t="shared" si="5"/>
        <v>#VALUE!</v>
      </c>
      <c r="M44" t="e">
        <f t="shared" si="6"/>
        <v>#VALUE!</v>
      </c>
      <c r="N44" t="e">
        <f t="shared" si="19"/>
        <v>#REF!</v>
      </c>
      <c r="O44" s="299" t="e">
        <f t="shared" si="20"/>
        <v>#VALUE!</v>
      </c>
      <c r="P44" s="651">
        <v>0</v>
      </c>
      <c r="Q44" s="397" t="str">
        <f t="shared" si="7"/>
        <v>1+0.010995574275i</v>
      </c>
      <c r="R44" s="397" t="str">
        <f t="shared" si="8"/>
        <v>-3.46836209756879E-06i</v>
      </c>
      <c r="S44" s="397" t="str">
        <f t="shared" si="9"/>
        <v>-0.000986565653678261</v>
      </c>
      <c r="T44" s="397" t="str">
        <f t="shared" si="21"/>
        <v>0.999013434346322+0.0109921059129024i</v>
      </c>
      <c r="U44" s="652">
        <v>1</v>
      </c>
      <c r="V44">
        <f t="shared" si="22"/>
        <v>1</v>
      </c>
      <c r="W44">
        <f t="shared" si="23"/>
        <v>0</v>
      </c>
      <c r="X44">
        <f t="shared" si="10"/>
        <v>0</v>
      </c>
      <c r="Z44" t="str">
        <f t="shared" si="11"/>
        <v>1.00098745857977-7.39318105431537E-06i</v>
      </c>
      <c r="AA44">
        <f t="shared" si="24"/>
        <v>8.5727245740982051E-3</v>
      </c>
      <c r="AB44">
        <f t="shared" si="12"/>
        <v>-4.2318019914624398E-4</v>
      </c>
      <c r="AD44" s="30" t="str">
        <f t="shared" si="13"/>
        <v>0.62831853i</v>
      </c>
      <c r="AE44" s="30" t="str">
        <f t="shared" si="25"/>
        <v>1+0.62831853i</v>
      </c>
      <c r="AF44" s="30" t="e">
        <f t="shared" si="14"/>
        <v>#VALUE!</v>
      </c>
      <c r="AG44" t="e">
        <f t="shared" si="15"/>
        <v>#VALUE!</v>
      </c>
      <c r="AH44" t="str">
        <f t="shared" si="26"/>
        <v>1+0.62831853i</v>
      </c>
      <c r="AI44" s="299" t="e">
        <f t="shared" si="27"/>
        <v>#VALUE!</v>
      </c>
      <c r="AK44" t="e">
        <f t="shared" si="28"/>
        <v>#VALUE!</v>
      </c>
      <c r="AM44" t="e">
        <f t="shared" si="29"/>
        <v>#VALUE!</v>
      </c>
      <c r="AN44" t="e">
        <f t="shared" si="16"/>
        <v>#VALUE!</v>
      </c>
    </row>
    <row r="45" spans="1:40" x14ac:dyDescent="0.25">
      <c r="A45" s="335">
        <v>6000</v>
      </c>
      <c r="B45" s="352">
        <f t="shared" si="17"/>
        <v>6</v>
      </c>
      <c r="C45" t="str">
        <f t="shared" ref="C45:C76" si="30">COMPLEX(0,2*Pi*A45)</f>
        <v>37699.1118i</v>
      </c>
      <c r="D45" s="30" t="str">
        <f t="shared" ref="D45:D76" si="31">COMPLEX(-POWER(2*Pi*A45,2),0)</f>
        <v>-1421223030.5089</v>
      </c>
      <c r="E45" s="30" t="str">
        <f t="shared" ref="E45:E76" si="32">COMPLEX(0,-POWER(2*Pi*A45,3))</f>
        <v>-53578845919889.8i</v>
      </c>
      <c r="G45" s="30" t="e">
        <f t="shared" ref="G45:G82" si="33">IMSUM(IMPRODUCT(C45,Rcomp_AEF*Csen_AEF),Csen_AEF/Ccomp_AEF)</f>
        <v>#VALUE!</v>
      </c>
      <c r="I45" s="30" t="e">
        <f t="shared" ref="I45:I76" si="34">IMPRODUCT((RdampSel*CdampSel+RdampSel*CinjSel),C45)</f>
        <v>#REF!</v>
      </c>
      <c r="J45" t="e">
        <f t="shared" si="18"/>
        <v>#REF!</v>
      </c>
      <c r="L45" s="30" t="e">
        <f t="shared" ref="L45:L76" si="35">IMPRODUCT(G45,L_infilterStd*RdampSel*CinjSel*CdampSel,E45)</f>
        <v>#VALUE!</v>
      </c>
      <c r="M45" t="e">
        <f t="shared" ref="M45:M76" si="36">IMPRODUCT(G45,L_infilterStd*CinjSel,D45)</f>
        <v>#VALUE!</v>
      </c>
      <c r="N45" t="e">
        <f t="shared" si="19"/>
        <v>#REF!</v>
      </c>
      <c r="O45" s="299" t="e">
        <f t="shared" si="20"/>
        <v>#VALUE!</v>
      </c>
      <c r="P45" s="651">
        <v>0</v>
      </c>
      <c r="Q45" s="397" t="str">
        <f t="shared" ref="Q45:Q76" si="37">IMSUM(IMPRODUCT(C45,RdampPssv*CdampPssv),1)</f>
        <v>1+0.01319468913i</v>
      </c>
      <c r="R45" s="397" t="str">
        <f t="shared" ref="R45:R76" si="38">IMPRODUCT(RdampPssv*CdampPssv*CfilterPssv*LinfilterPssv,E45)</f>
        <v>-5.99332970459887E-06i</v>
      </c>
      <c r="S45" s="397" t="str">
        <f t="shared" ref="S45:S76" si="39">IMPRODUCT(D45,LinfilterPssv*(CfilterPssv+CdampPssv))</f>
        <v>-0.0014206545412967</v>
      </c>
      <c r="T45" s="397" t="str">
        <f t="shared" si="21"/>
        <v>0.998579345458703+0.0131886958002954i</v>
      </c>
      <c r="U45" s="652">
        <v>1</v>
      </c>
      <c r="V45">
        <f t="shared" ref="V45:V82" si="40">CHOOSE(INFILTER_TYPE,U45,IMDIV(J45,O45),IMDIV(Q45,T45))</f>
        <v>1</v>
      </c>
      <c r="W45">
        <f t="shared" si="23"/>
        <v>0</v>
      </c>
      <c r="X45">
        <f t="shared" ref="X45:X82" si="41">IMARGUMENT(V45)*180/Pi</f>
        <v>0</v>
      </c>
      <c r="Z45" t="str">
        <f t="shared" ref="Z45:Z76" si="42">IMDIV(Q45,T45)</f>
        <v>1.00142250680344-0.000012785844067251i</v>
      </c>
      <c r="AA45">
        <f t="shared" si="24"/>
        <v>1.2346958077157324E-2</v>
      </c>
      <c r="AB45">
        <f t="shared" ref="AB45:AB76" si="43">IMARGUMENT(Z45)*180/Pi</f>
        <v>-7.3153429085745297E-4</v>
      </c>
      <c r="AD45" s="30" t="str">
        <f t="shared" ref="AD45:AD76" si="44">IMPRODUCT((RdampCom*CdampCom+RdampCom*CinjCom),C45)</f>
        <v>0.753982236i</v>
      </c>
      <c r="AE45" s="30" t="str">
        <f t="shared" si="25"/>
        <v>1+0.753982236i</v>
      </c>
      <c r="AF45" s="30" t="e">
        <f t="shared" ref="AF45:AF76" si="45">IMPRODUCT(G45,L_infilterStd*RdampSel*CinjSel*CdampSel,E45)</f>
        <v>#VALUE!</v>
      </c>
      <c r="AG45" t="e">
        <f t="shared" ref="AG45:AG76" si="46">IMPRODUCT(G45,LAEFCom*CinjCom,D45)</f>
        <v>#VALUE!</v>
      </c>
      <c r="AH45" t="str">
        <f t="shared" si="26"/>
        <v>1+0.753982236i</v>
      </c>
      <c r="AI45" s="299" t="e">
        <f t="shared" si="27"/>
        <v>#VALUE!</v>
      </c>
      <c r="AK45" t="e">
        <f t="shared" si="28"/>
        <v>#VALUE!</v>
      </c>
      <c r="AM45" t="e">
        <f t="shared" si="29"/>
        <v>#VALUE!</v>
      </c>
      <c r="AN45" t="e">
        <f t="shared" ref="AN45:AN76" si="47">IMARGUMENT(AK45)*180/Pi</f>
        <v>#VALUE!</v>
      </c>
    </row>
    <row r="46" spans="1:40" x14ac:dyDescent="0.25">
      <c r="A46" s="335">
        <v>7000</v>
      </c>
      <c r="B46" s="352">
        <f t="shared" si="17"/>
        <v>7</v>
      </c>
      <c r="C46" t="str">
        <f t="shared" si="30"/>
        <v>43982.2971i</v>
      </c>
      <c r="D46" s="30" t="str">
        <f t="shared" si="31"/>
        <v>-1934442458.19267</v>
      </c>
      <c r="E46" s="30" t="str">
        <f t="shared" si="32"/>
        <v>-85081222919084.3i</v>
      </c>
      <c r="G46" s="30" t="e">
        <f t="shared" si="33"/>
        <v>#VALUE!</v>
      </c>
      <c r="I46" s="30" t="e">
        <f t="shared" si="34"/>
        <v>#REF!</v>
      </c>
      <c r="J46" t="e">
        <f t="shared" si="18"/>
        <v>#REF!</v>
      </c>
      <c r="L46" s="30" t="e">
        <f t="shared" si="35"/>
        <v>#VALUE!</v>
      </c>
      <c r="M46" t="e">
        <f t="shared" si="36"/>
        <v>#VALUE!</v>
      </c>
      <c r="N46" t="e">
        <f t="shared" si="19"/>
        <v>#REF!</v>
      </c>
      <c r="O46" s="299" t="e">
        <f t="shared" si="20"/>
        <v>#VALUE!</v>
      </c>
      <c r="P46" s="651">
        <v>0</v>
      </c>
      <c r="Q46" s="397" t="str">
        <f t="shared" si="37"/>
        <v>1+0.015393803985i</v>
      </c>
      <c r="R46" s="397" t="str">
        <f t="shared" si="38"/>
        <v>-9.51718559572877E-06i</v>
      </c>
      <c r="S46" s="397" t="str">
        <f t="shared" si="39"/>
        <v>-0.00193366868120939</v>
      </c>
      <c r="T46" s="397" t="str">
        <f t="shared" si="21"/>
        <v>0.998066331318791+0.0153842867994043i</v>
      </c>
      <c r="U46" s="652">
        <v>1</v>
      </c>
      <c r="V46">
        <f t="shared" si="40"/>
        <v>1</v>
      </c>
      <c r="W46">
        <f t="shared" si="23"/>
        <v>0</v>
      </c>
      <c r="X46">
        <f t="shared" si="41"/>
        <v>0</v>
      </c>
      <c r="Z46" t="str">
        <f t="shared" si="42"/>
        <v>1.00193710173868-0.0000203230411399365i</v>
      </c>
      <c r="AA46">
        <f t="shared" si="24"/>
        <v>1.680917841515581E-2</v>
      </c>
      <c r="AB46">
        <f t="shared" si="43"/>
        <v>-1.1621732375608322E-3</v>
      </c>
      <c r="AD46" s="30" t="str">
        <f t="shared" si="44"/>
        <v>0.879645942i</v>
      </c>
      <c r="AE46" s="30" t="str">
        <f t="shared" si="25"/>
        <v>1+0.879645942i</v>
      </c>
      <c r="AF46" s="30" t="e">
        <f t="shared" si="45"/>
        <v>#VALUE!</v>
      </c>
      <c r="AG46" t="e">
        <f t="shared" si="46"/>
        <v>#VALUE!</v>
      </c>
      <c r="AH46" t="str">
        <f t="shared" si="26"/>
        <v>1+0.879645942i</v>
      </c>
      <c r="AI46" s="299" t="e">
        <f t="shared" si="27"/>
        <v>#VALUE!</v>
      </c>
      <c r="AK46" t="e">
        <f t="shared" si="28"/>
        <v>#VALUE!</v>
      </c>
      <c r="AM46" t="e">
        <f t="shared" si="29"/>
        <v>#VALUE!</v>
      </c>
      <c r="AN46" t="e">
        <f t="shared" si="47"/>
        <v>#VALUE!</v>
      </c>
    </row>
    <row r="47" spans="1:40" x14ac:dyDescent="0.25">
      <c r="A47" s="335">
        <v>8000</v>
      </c>
      <c r="B47" s="352">
        <f t="shared" si="17"/>
        <v>8</v>
      </c>
      <c r="C47" t="str">
        <f t="shared" si="30"/>
        <v>50265.4824i</v>
      </c>
      <c r="D47" s="30" t="str">
        <f t="shared" si="31"/>
        <v>-2526618720.90471</v>
      </c>
      <c r="E47" s="30" t="str">
        <f t="shared" si="32"/>
        <v>-127001708847146i</v>
      </c>
      <c r="G47" s="30" t="e">
        <f t="shared" si="33"/>
        <v>#VALUE!</v>
      </c>
      <c r="I47" s="30" t="e">
        <f t="shared" si="34"/>
        <v>#REF!</v>
      </c>
      <c r="J47" t="e">
        <f t="shared" si="18"/>
        <v>#REF!</v>
      </c>
      <c r="L47" s="30" t="e">
        <f t="shared" si="35"/>
        <v>#VALUE!</v>
      </c>
      <c r="M47" t="e">
        <f t="shared" si="36"/>
        <v>#VALUE!</v>
      </c>
      <c r="N47" t="e">
        <f t="shared" si="19"/>
        <v>#REF!</v>
      </c>
      <c r="O47" s="299" t="e">
        <f t="shared" si="20"/>
        <v>#VALUE!</v>
      </c>
      <c r="P47" s="651">
        <v>0</v>
      </c>
      <c r="Q47" s="397" t="str">
        <f t="shared" si="37"/>
        <v>1+0.01759291884i</v>
      </c>
      <c r="R47" s="397" t="str">
        <f t="shared" si="38"/>
        <v>-0.0000142064111516418i</v>
      </c>
      <c r="S47" s="397" t="str">
        <f t="shared" si="39"/>
        <v>-0.00252560807341635</v>
      </c>
      <c r="T47" s="397" t="str">
        <f t="shared" si="21"/>
        <v>0.997474391926584+0.0175787124288484i</v>
      </c>
      <c r="U47" s="652">
        <v>1</v>
      </c>
      <c r="V47">
        <f t="shared" si="40"/>
        <v>1</v>
      </c>
      <c r="W47">
        <f t="shared" si="23"/>
        <v>0</v>
      </c>
      <c r="X47">
        <f t="shared" si="41"/>
        <v>0</v>
      </c>
      <c r="Z47" t="str">
        <f t="shared" si="42"/>
        <v>1.00253146769905-0.0000303702348632679i</v>
      </c>
      <c r="AA47">
        <f t="shared" si="24"/>
        <v>2.1960268903701091E-2</v>
      </c>
      <c r="AB47">
        <f t="shared" si="43"/>
        <v>-1.7356924326137229E-3</v>
      </c>
      <c r="AD47" s="30" t="str">
        <f t="shared" si="44"/>
        <v>1.005309648i</v>
      </c>
      <c r="AE47" s="30" t="str">
        <f t="shared" si="25"/>
        <v>1+1.005309648i</v>
      </c>
      <c r="AF47" s="30" t="e">
        <f t="shared" si="45"/>
        <v>#VALUE!</v>
      </c>
      <c r="AG47" t="e">
        <f t="shared" si="46"/>
        <v>#VALUE!</v>
      </c>
      <c r="AH47" t="str">
        <f t="shared" si="26"/>
        <v>1+1.005309648i</v>
      </c>
      <c r="AI47" s="299" t="e">
        <f t="shared" si="27"/>
        <v>#VALUE!</v>
      </c>
      <c r="AK47" t="e">
        <f t="shared" si="28"/>
        <v>#VALUE!</v>
      </c>
      <c r="AM47" t="e">
        <f t="shared" si="29"/>
        <v>#VALUE!</v>
      </c>
      <c r="AN47" t="e">
        <f t="shared" si="47"/>
        <v>#VALUE!</v>
      </c>
    </row>
    <row r="48" spans="1:40" x14ac:dyDescent="0.25">
      <c r="A48" s="335">
        <v>9000</v>
      </c>
      <c r="B48" s="352">
        <f t="shared" si="17"/>
        <v>9</v>
      </c>
      <c r="C48" t="str">
        <f t="shared" si="30"/>
        <v>56548.6677i</v>
      </c>
      <c r="D48" s="30" t="str">
        <f t="shared" si="31"/>
        <v>-3197751818.64502</v>
      </c>
      <c r="E48" s="30" t="str">
        <f t="shared" si="32"/>
        <v>-180828604979628i</v>
      </c>
      <c r="G48" s="30" t="e">
        <f t="shared" si="33"/>
        <v>#VALUE!</v>
      </c>
      <c r="I48" s="30" t="e">
        <f t="shared" si="34"/>
        <v>#REF!</v>
      </c>
      <c r="J48" t="e">
        <f t="shared" si="18"/>
        <v>#REF!</v>
      </c>
      <c r="L48" s="30" t="e">
        <f t="shared" si="35"/>
        <v>#VALUE!</v>
      </c>
      <c r="M48" t="e">
        <f t="shared" si="36"/>
        <v>#VALUE!</v>
      </c>
      <c r="N48" t="e">
        <f t="shared" si="19"/>
        <v>#REF!</v>
      </c>
      <c r="O48" s="299" t="e">
        <f t="shared" si="20"/>
        <v>#VALUE!</v>
      </c>
      <c r="P48" s="651">
        <v>0</v>
      </c>
      <c r="Q48" s="397" t="str">
        <f t="shared" si="37"/>
        <v>1+0.019792033695i</v>
      </c>
      <c r="R48" s="397" t="str">
        <f t="shared" si="38"/>
        <v>-0.0000202274877530212i</v>
      </c>
      <c r="S48" s="397" t="str">
        <f t="shared" si="39"/>
        <v>-0.00319647271791756</v>
      </c>
      <c r="T48" s="397" t="str">
        <f t="shared" si="21"/>
        <v>0.996803527282082+0.019771806207247i</v>
      </c>
      <c r="U48" s="652">
        <v>1</v>
      </c>
      <c r="V48">
        <f t="shared" si="40"/>
        <v>1</v>
      </c>
      <c r="W48">
        <f t="shared" si="23"/>
        <v>0</v>
      </c>
      <c r="X48">
        <f t="shared" si="41"/>
        <v>0</v>
      </c>
      <c r="Z48" t="str">
        <f t="shared" si="42"/>
        <v>1.00320586412249-0.0000432966329094656i</v>
      </c>
      <c r="AA48">
        <f t="shared" si="24"/>
        <v>2.7801250322054171E-2</v>
      </c>
      <c r="AB48">
        <f t="shared" si="43"/>
        <v>-2.4727869152797537E-3</v>
      </c>
      <c r="AD48" s="30" t="str">
        <f t="shared" si="44"/>
        <v>1.130973354i</v>
      </c>
      <c r="AE48" s="30" t="str">
        <f t="shared" si="25"/>
        <v>1+1.130973354i</v>
      </c>
      <c r="AF48" s="30" t="e">
        <f t="shared" si="45"/>
        <v>#VALUE!</v>
      </c>
      <c r="AG48" t="e">
        <f t="shared" si="46"/>
        <v>#VALUE!</v>
      </c>
      <c r="AH48" t="str">
        <f t="shared" si="26"/>
        <v>1+1.130973354i</v>
      </c>
      <c r="AI48" s="299" t="e">
        <f t="shared" si="27"/>
        <v>#VALUE!</v>
      </c>
      <c r="AK48" t="e">
        <f t="shared" si="28"/>
        <v>#VALUE!</v>
      </c>
      <c r="AM48" t="e">
        <f t="shared" si="29"/>
        <v>#VALUE!</v>
      </c>
      <c r="AN48" t="e">
        <f t="shared" si="47"/>
        <v>#VALUE!</v>
      </c>
    </row>
    <row r="49" spans="1:40" x14ac:dyDescent="0.25">
      <c r="A49" s="335">
        <v>10000</v>
      </c>
      <c r="B49" s="352">
        <f t="shared" si="17"/>
        <v>10</v>
      </c>
      <c r="C49" t="str">
        <f t="shared" si="30"/>
        <v>62831.853i</v>
      </c>
      <c r="D49" s="30" t="str">
        <f t="shared" si="31"/>
        <v>-3947841751.41361</v>
      </c>
      <c r="E49" s="30" t="str">
        <f t="shared" si="32"/>
        <v>-248050212592082i</v>
      </c>
      <c r="G49" s="30" t="e">
        <f t="shared" si="33"/>
        <v>#VALUE!</v>
      </c>
      <c r="I49" s="30" t="e">
        <f t="shared" si="34"/>
        <v>#REF!</v>
      </c>
      <c r="J49" t="e">
        <f t="shared" si="18"/>
        <v>#REF!</v>
      </c>
      <c r="L49" s="30" t="e">
        <f t="shared" si="35"/>
        <v>#VALUE!</v>
      </c>
      <c r="M49" t="e">
        <f t="shared" si="36"/>
        <v>#VALUE!</v>
      </c>
      <c r="N49" t="e">
        <f t="shared" si="19"/>
        <v>#REF!</v>
      </c>
      <c r="O49" s="299" t="e">
        <f t="shared" si="20"/>
        <v>#VALUE!</v>
      </c>
      <c r="P49" s="651">
        <v>0</v>
      </c>
      <c r="Q49" s="397" t="str">
        <f t="shared" si="37"/>
        <v>1+0.02199114855i</v>
      </c>
      <c r="R49" s="397" t="str">
        <f t="shared" si="38"/>
        <v>-0.0000277468967805503i</v>
      </c>
      <c r="S49" s="397" t="str">
        <f t="shared" si="39"/>
        <v>-0.00394626261471305</v>
      </c>
      <c r="T49" s="397" t="str">
        <f t="shared" si="21"/>
        <v>0.996053737385287+0.0219634016532194i</v>
      </c>
      <c r="U49" s="652">
        <v>1</v>
      </c>
      <c r="V49">
        <f t="shared" si="40"/>
        <v>1</v>
      </c>
      <c r="W49">
        <f t="shared" si="23"/>
        <v>0</v>
      </c>
      <c r="X49">
        <f t="shared" si="41"/>
        <v>0</v>
      </c>
      <c r="Z49" t="str">
        <f t="shared" si="42"/>
        <v>1.0039605858368-0.0000594757476545141i</v>
      </c>
      <c r="AA49">
        <f t="shared" si="24"/>
        <v>3.4333281589256678E-2</v>
      </c>
      <c r="AB49">
        <f t="shared" si="43"/>
        <v>-3.394266041884357E-3</v>
      </c>
      <c r="AD49" s="30" t="str">
        <f t="shared" si="44"/>
        <v>1.25663706i</v>
      </c>
      <c r="AE49" s="30" t="str">
        <f t="shared" si="25"/>
        <v>1+1.25663706i</v>
      </c>
      <c r="AF49" s="30" t="e">
        <f t="shared" si="45"/>
        <v>#VALUE!</v>
      </c>
      <c r="AG49" t="e">
        <f t="shared" si="46"/>
        <v>#VALUE!</v>
      </c>
      <c r="AH49" t="str">
        <f t="shared" si="26"/>
        <v>1+1.25663706i</v>
      </c>
      <c r="AI49" s="299" t="e">
        <f t="shared" si="27"/>
        <v>#VALUE!</v>
      </c>
      <c r="AK49" t="e">
        <f t="shared" si="28"/>
        <v>#VALUE!</v>
      </c>
      <c r="AM49" t="e">
        <f t="shared" si="29"/>
        <v>#VALUE!</v>
      </c>
      <c r="AN49" t="e">
        <f t="shared" si="47"/>
        <v>#VALUE!</v>
      </c>
    </row>
    <row r="50" spans="1:40" x14ac:dyDescent="0.25">
      <c r="A50" s="335">
        <v>11000</v>
      </c>
      <c r="B50" s="352">
        <f t="shared" si="17"/>
        <v>11</v>
      </c>
      <c r="C50" t="str">
        <f t="shared" si="30"/>
        <v>69115.0383i</v>
      </c>
      <c r="D50" s="30" t="str">
        <f t="shared" si="31"/>
        <v>-4776888519.21047</v>
      </c>
      <c r="E50" s="30" t="str">
        <f t="shared" si="32"/>
        <v>-330154832960062i</v>
      </c>
      <c r="G50" s="30" t="e">
        <f t="shared" si="33"/>
        <v>#VALUE!</v>
      </c>
      <c r="I50" s="30" t="e">
        <f t="shared" si="34"/>
        <v>#REF!</v>
      </c>
      <c r="J50" t="e">
        <f t="shared" si="18"/>
        <v>#REF!</v>
      </c>
      <c r="L50" s="30" t="e">
        <f t="shared" si="35"/>
        <v>#VALUE!</v>
      </c>
      <c r="M50" t="e">
        <f t="shared" si="36"/>
        <v>#VALUE!</v>
      </c>
      <c r="N50" t="e">
        <f>J50</f>
        <v>#REF!</v>
      </c>
      <c r="O50" s="299" t="e">
        <f>IMSUM(L50:N50)</f>
        <v>#VALUE!</v>
      </c>
      <c r="P50" s="651">
        <v>0</v>
      </c>
      <c r="Q50" s="397" t="str">
        <f t="shared" si="37"/>
        <v>1+0.024190263405i</v>
      </c>
      <c r="R50" s="397" t="str">
        <f t="shared" si="38"/>
        <v>-0.0000369311196149125i</v>
      </c>
      <c r="S50" s="397" t="str">
        <f t="shared" si="39"/>
        <v>-0.00477497776380279</v>
      </c>
      <c r="T50" s="397" t="str">
        <f>IMSUM(S50,R50,Q50)</f>
        <v>0.995225022236197+0.0241533322853851i</v>
      </c>
      <c r="U50" s="652">
        <v>1</v>
      </c>
      <c r="V50">
        <f t="shared" si="40"/>
        <v>1</v>
      </c>
      <c r="W50">
        <f t="shared" si="23"/>
        <v>0</v>
      </c>
      <c r="X50">
        <f t="shared" si="41"/>
        <v>0</v>
      </c>
      <c r="Z50" t="str">
        <f t="shared" si="42"/>
        <v>1.00479596336193-0.0000792859658181959i</v>
      </c>
      <c r="AA50">
        <f t="shared" si="24"/>
        <v>4.1557660533084087E-2</v>
      </c>
      <c r="AB50">
        <f t="shared" si="43"/>
        <v>-4.5210683336785549E-3</v>
      </c>
      <c r="AD50" s="30" t="str">
        <f t="shared" si="44"/>
        <v>1.382300766i</v>
      </c>
      <c r="AE50" s="30" t="str">
        <f t="shared" si="25"/>
        <v>1+1.382300766i</v>
      </c>
      <c r="AF50" s="30" t="e">
        <f t="shared" si="45"/>
        <v>#VALUE!</v>
      </c>
      <c r="AG50" t="e">
        <f t="shared" si="46"/>
        <v>#VALUE!</v>
      </c>
      <c r="AH50" t="str">
        <f t="shared" si="26"/>
        <v>1+1.382300766i</v>
      </c>
      <c r="AI50" s="299" t="e">
        <f t="shared" si="27"/>
        <v>#VALUE!</v>
      </c>
      <c r="AK50" t="e">
        <f t="shared" si="28"/>
        <v>#VALUE!</v>
      </c>
      <c r="AM50" t="e">
        <f t="shared" si="29"/>
        <v>#VALUE!</v>
      </c>
      <c r="AN50" t="e">
        <f t="shared" si="47"/>
        <v>#VALUE!</v>
      </c>
    </row>
    <row r="51" spans="1:40" x14ac:dyDescent="0.25">
      <c r="A51" s="335">
        <v>12000</v>
      </c>
      <c r="B51" s="352">
        <f t="shared" si="17"/>
        <v>12</v>
      </c>
      <c r="C51" t="str">
        <f t="shared" si="30"/>
        <v>75398.2236i</v>
      </c>
      <c r="D51" s="30" t="str">
        <f t="shared" si="31"/>
        <v>-5684892122.0356</v>
      </c>
      <c r="E51" s="30" t="str">
        <f t="shared" si="32"/>
        <v>-428630767359119i</v>
      </c>
      <c r="G51" s="30" t="e">
        <f t="shared" si="33"/>
        <v>#VALUE!</v>
      </c>
      <c r="I51" s="30" t="e">
        <f t="shared" si="34"/>
        <v>#REF!</v>
      </c>
      <c r="J51" t="e">
        <f t="shared" si="18"/>
        <v>#REF!</v>
      </c>
      <c r="L51" s="30" t="e">
        <f t="shared" si="35"/>
        <v>#VALUE!</v>
      </c>
      <c r="M51" t="e">
        <f t="shared" si="36"/>
        <v>#VALUE!</v>
      </c>
      <c r="N51" t="e">
        <f>J51</f>
        <v>#REF!</v>
      </c>
      <c r="O51" s="299" t="e">
        <f>IMSUM(L51:N51)</f>
        <v>#VALUE!</v>
      </c>
      <c r="P51" s="651">
        <v>0</v>
      </c>
      <c r="Q51" s="397" t="str">
        <f t="shared" si="37"/>
        <v>1+0.02638937826i</v>
      </c>
      <c r="R51" s="397" t="str">
        <f t="shared" si="38"/>
        <v>-0.000047946637636791i</v>
      </c>
      <c r="S51" s="397" t="str">
        <f t="shared" si="39"/>
        <v>-0.00568261816518679</v>
      </c>
      <c r="T51" s="397" t="str">
        <f>IMSUM(S51,R51,Q51)</f>
        <v>0.994317381834813+0.0263414316223632i</v>
      </c>
      <c r="U51" s="652">
        <v>1</v>
      </c>
      <c r="V51">
        <f t="shared" si="40"/>
        <v>1</v>
      </c>
      <c r="W51">
        <f t="shared" si="23"/>
        <v>0</v>
      </c>
      <c r="X51">
        <f t="shared" si="41"/>
        <v>0</v>
      </c>
      <c r="Z51" t="str">
        <f t="shared" si="42"/>
        <v>1.00571236324959-0.000103111129481765i</v>
      </c>
      <c r="AA51">
        <f t="shared" si="24"/>
        <v>4.9475824752593413E-2</v>
      </c>
      <c r="AB51">
        <f t="shared" si="43"/>
        <v>-5.8742765248443194E-3</v>
      </c>
      <c r="AD51" s="30" t="str">
        <f t="shared" si="44"/>
        <v>1.507964472i</v>
      </c>
      <c r="AE51" s="30" t="str">
        <f t="shared" si="25"/>
        <v>1+1.507964472i</v>
      </c>
      <c r="AF51" s="30" t="e">
        <f t="shared" si="45"/>
        <v>#VALUE!</v>
      </c>
      <c r="AG51" t="e">
        <f t="shared" si="46"/>
        <v>#VALUE!</v>
      </c>
      <c r="AH51" t="str">
        <f t="shared" si="26"/>
        <v>1+1.507964472i</v>
      </c>
      <c r="AI51" s="299" t="e">
        <f t="shared" si="27"/>
        <v>#VALUE!</v>
      </c>
      <c r="AK51" t="e">
        <f t="shared" si="28"/>
        <v>#VALUE!</v>
      </c>
      <c r="AM51" t="e">
        <f t="shared" si="29"/>
        <v>#VALUE!</v>
      </c>
      <c r="AN51" t="e">
        <f t="shared" si="47"/>
        <v>#VALUE!</v>
      </c>
    </row>
    <row r="52" spans="1:40" x14ac:dyDescent="0.25">
      <c r="A52" s="335">
        <v>13000</v>
      </c>
      <c r="B52" s="352">
        <f t="shared" si="17"/>
        <v>13</v>
      </c>
      <c r="C52" t="str">
        <f t="shared" si="30"/>
        <v>81681.4089i</v>
      </c>
      <c r="D52" s="30" t="str">
        <f t="shared" si="31"/>
        <v>-6671852559.889</v>
      </c>
      <c r="E52" s="30" t="str">
        <f t="shared" si="32"/>
        <v>-544966317064805i</v>
      </c>
      <c r="G52" s="30" t="e">
        <f t="shared" si="33"/>
        <v>#VALUE!</v>
      </c>
      <c r="I52" s="30" t="e">
        <f t="shared" si="34"/>
        <v>#REF!</v>
      </c>
      <c r="J52" t="e">
        <f t="shared" si="18"/>
        <v>#REF!</v>
      </c>
      <c r="L52" s="30" t="e">
        <f t="shared" si="35"/>
        <v>#VALUE!</v>
      </c>
      <c r="M52" t="e">
        <f t="shared" si="36"/>
        <v>#VALUE!</v>
      </c>
      <c r="N52" t="e">
        <f>J52</f>
        <v>#REF!</v>
      </c>
      <c r="O52" s="299" t="e">
        <f>IMSUM(L52:N52)</f>
        <v>#VALUE!</v>
      </c>
      <c r="P52" s="651">
        <v>0</v>
      </c>
      <c r="Q52" s="397" t="str">
        <f t="shared" si="37"/>
        <v>1+0.028588493115i</v>
      </c>
      <c r="R52" s="397" t="str">
        <f t="shared" si="38"/>
        <v>-0.0000609599322268691i</v>
      </c>
      <c r="S52" s="397" t="str">
        <f t="shared" si="39"/>
        <v>-0.00666918381886504</v>
      </c>
      <c r="T52" s="397" t="str">
        <f>IMSUM(S52,R52,Q52)</f>
        <v>0.993330816181135+0.0285275331827731i</v>
      </c>
      <c r="U52" s="652">
        <v>1</v>
      </c>
      <c r="V52">
        <f t="shared" si="40"/>
        <v>1</v>
      </c>
      <c r="W52">
        <f t="shared" si="23"/>
        <v>0</v>
      </c>
      <c r="X52">
        <f t="shared" si="41"/>
        <v>0</v>
      </c>
      <c r="Z52" t="str">
        <f t="shared" si="42"/>
        <v>1.00671018846073-0.00013134112988737i</v>
      </c>
      <c r="AA52">
        <f t="shared" si="24"/>
        <v>5.808935257490936E-2</v>
      </c>
      <c r="AB52">
        <f t="shared" si="43"/>
        <v>-7.4751328348372729E-3</v>
      </c>
      <c r="AD52" s="30" t="str">
        <f t="shared" si="44"/>
        <v>1.633628178i</v>
      </c>
      <c r="AE52" s="30" t="str">
        <f t="shared" si="25"/>
        <v>1+1.633628178i</v>
      </c>
      <c r="AF52" s="30" t="e">
        <f t="shared" si="45"/>
        <v>#VALUE!</v>
      </c>
      <c r="AG52" t="e">
        <f t="shared" si="46"/>
        <v>#VALUE!</v>
      </c>
      <c r="AH52" t="str">
        <f t="shared" si="26"/>
        <v>1+1.633628178i</v>
      </c>
      <c r="AI52" s="299" t="e">
        <f t="shared" si="27"/>
        <v>#VALUE!</v>
      </c>
      <c r="AK52" t="e">
        <f t="shared" si="28"/>
        <v>#VALUE!</v>
      </c>
      <c r="AM52" t="e">
        <f t="shared" si="29"/>
        <v>#VALUE!</v>
      </c>
      <c r="AN52" t="e">
        <f t="shared" si="47"/>
        <v>#VALUE!</v>
      </c>
    </row>
    <row r="53" spans="1:40" x14ac:dyDescent="0.25">
      <c r="A53" s="335">
        <v>15000</v>
      </c>
      <c r="B53" s="352">
        <f t="shared" si="17"/>
        <v>15</v>
      </c>
      <c r="C53" t="str">
        <f t="shared" si="30"/>
        <v>94247.7795i</v>
      </c>
      <c r="D53" s="30" t="str">
        <f t="shared" si="31"/>
        <v>-8882643940.68062</v>
      </c>
      <c r="E53" s="30" t="str">
        <f t="shared" si="32"/>
        <v>-837169467498278i</v>
      </c>
      <c r="G53" s="30" t="e">
        <f t="shared" si="33"/>
        <v>#VALUE!</v>
      </c>
      <c r="I53" s="30" t="e">
        <f t="shared" si="34"/>
        <v>#REF!</v>
      </c>
      <c r="J53" t="e">
        <f t="shared" si="18"/>
        <v>#REF!</v>
      </c>
      <c r="L53" s="30" t="e">
        <f t="shared" si="35"/>
        <v>#VALUE!</v>
      </c>
      <c r="M53" t="e">
        <f t="shared" si="36"/>
        <v>#VALUE!</v>
      </c>
      <c r="N53" t="e">
        <f>J53</f>
        <v>#REF!</v>
      </c>
      <c r="O53" s="299" t="e">
        <f>IMSUM(L53:N53)</f>
        <v>#VALUE!</v>
      </c>
      <c r="P53" s="651">
        <v>0</v>
      </c>
      <c r="Q53" s="397" t="str">
        <f t="shared" si="37"/>
        <v>1+0.032986722825i</v>
      </c>
      <c r="R53" s="397" t="str">
        <f t="shared" si="38"/>
        <v>-0.0000936457766343574i</v>
      </c>
      <c r="S53" s="397" t="str">
        <f t="shared" si="39"/>
        <v>-0.00887909088310435</v>
      </c>
      <c r="T53" s="397" t="str">
        <f>IMSUM(S53,R53,Q53)</f>
        <v>0.991120909116896+0.0328930770483656i</v>
      </c>
      <c r="U53" s="652">
        <v>1</v>
      </c>
      <c r="V53">
        <f t="shared" si="40"/>
        <v>1</v>
      </c>
      <c r="W53">
        <f t="shared" si="23"/>
        <v>0</v>
      </c>
      <c r="X53">
        <f t="shared" si="41"/>
        <v>0</v>
      </c>
      <c r="Z53" t="str">
        <f t="shared" si="42"/>
        <v>1.00895191127968-0.00020260911556929i</v>
      </c>
      <c r="AA53">
        <f t="shared" si="24"/>
        <v>7.7409522394356958E-2</v>
      </c>
      <c r="AB53">
        <f t="shared" si="43"/>
        <v>-1.1505649516535831E-2</v>
      </c>
      <c r="AD53" s="30" t="str">
        <f t="shared" si="44"/>
        <v>1.88495559i</v>
      </c>
      <c r="AE53" s="30" t="str">
        <f t="shared" si="25"/>
        <v>1+1.88495559i</v>
      </c>
      <c r="AF53" s="30" t="e">
        <f t="shared" si="45"/>
        <v>#VALUE!</v>
      </c>
      <c r="AG53" t="e">
        <f t="shared" si="46"/>
        <v>#VALUE!</v>
      </c>
      <c r="AH53" t="str">
        <f t="shared" si="26"/>
        <v>1+1.88495559i</v>
      </c>
      <c r="AI53" s="299" t="e">
        <f t="shared" si="27"/>
        <v>#VALUE!</v>
      </c>
      <c r="AK53" t="e">
        <f t="shared" si="28"/>
        <v>#VALUE!</v>
      </c>
      <c r="AM53" t="e">
        <f t="shared" si="29"/>
        <v>#VALUE!</v>
      </c>
      <c r="AN53" t="e">
        <f t="shared" si="47"/>
        <v>#VALUE!</v>
      </c>
    </row>
    <row r="54" spans="1:40" x14ac:dyDescent="0.25">
      <c r="A54" s="335">
        <v>16000</v>
      </c>
      <c r="B54" s="352">
        <f t="shared" si="17"/>
        <v>16</v>
      </c>
      <c r="C54" t="str">
        <f t="shared" si="30"/>
        <v>100530.9648i</v>
      </c>
      <c r="D54" s="30" t="str">
        <f t="shared" si="31"/>
        <v>-10106474883.6188</v>
      </c>
      <c r="E54" s="30" t="str">
        <f t="shared" si="32"/>
        <v>-1016013670777170i</v>
      </c>
      <c r="G54" s="30" t="e">
        <f t="shared" si="33"/>
        <v>#VALUE!</v>
      </c>
      <c r="I54" s="30" t="e">
        <f t="shared" si="34"/>
        <v>#REF!</v>
      </c>
      <c r="J54" t="e">
        <f t="shared" si="18"/>
        <v>#REF!</v>
      </c>
      <c r="L54" s="30" t="e">
        <f t="shared" si="35"/>
        <v>#VALUE!</v>
      </c>
      <c r="M54" t="e">
        <f t="shared" si="36"/>
        <v>#VALUE!</v>
      </c>
      <c r="N54" t="e">
        <f t="shared" ref="N54:N68" si="48">J54</f>
        <v>#REF!</v>
      </c>
      <c r="O54" s="299" t="e">
        <f t="shared" ref="O54:O68" si="49">IMSUM(L54:N54)</f>
        <v>#VALUE!</v>
      </c>
      <c r="P54" s="651">
        <v>0</v>
      </c>
      <c r="Q54" s="397" t="str">
        <f t="shared" si="37"/>
        <v>1+0.03518583768i</v>
      </c>
      <c r="R54" s="397" t="str">
        <f t="shared" si="38"/>
        <v>-0.000113651289213134i</v>
      </c>
      <c r="S54" s="397" t="str">
        <f t="shared" si="39"/>
        <v>-0.0101024322936654</v>
      </c>
      <c r="T54" s="397" t="str">
        <f t="shared" ref="T54:T68" si="50">IMSUM(S54,R54,Q54)</f>
        <v>0.989897567706335+0.0350721863907869i</v>
      </c>
      <c r="U54" s="652">
        <v>1</v>
      </c>
      <c r="V54">
        <f t="shared" si="40"/>
        <v>1</v>
      </c>
      <c r="W54">
        <f t="shared" si="23"/>
        <v>0</v>
      </c>
      <c r="X54">
        <f t="shared" si="41"/>
        <v>0</v>
      </c>
      <c r="Z54" t="str">
        <f t="shared" si="42"/>
        <v>1.01019680079824-0.000246462681525396i</v>
      </c>
      <c r="AA54">
        <f t="shared" si="24"/>
        <v>8.8120034652894183E-2</v>
      </c>
      <c r="AB54">
        <f t="shared" si="43"/>
        <v>-1.3978732840646416E-2</v>
      </c>
      <c r="AD54" s="30" t="str">
        <f t="shared" si="44"/>
        <v>2.010619296i</v>
      </c>
      <c r="AE54" s="30" t="str">
        <f t="shared" si="25"/>
        <v>1+2.010619296i</v>
      </c>
      <c r="AF54" s="30" t="e">
        <f t="shared" si="45"/>
        <v>#VALUE!</v>
      </c>
      <c r="AG54" t="e">
        <f t="shared" si="46"/>
        <v>#VALUE!</v>
      </c>
      <c r="AH54" t="str">
        <f t="shared" si="26"/>
        <v>1+2.010619296i</v>
      </c>
      <c r="AI54" s="299" t="e">
        <f t="shared" si="27"/>
        <v>#VALUE!</v>
      </c>
      <c r="AK54" t="e">
        <f t="shared" si="28"/>
        <v>#VALUE!</v>
      </c>
      <c r="AM54" t="e">
        <f t="shared" si="29"/>
        <v>#VALUE!</v>
      </c>
      <c r="AN54" t="e">
        <f t="shared" si="47"/>
        <v>#VALUE!</v>
      </c>
    </row>
    <row r="55" spans="1:40" x14ac:dyDescent="0.25">
      <c r="A55" s="335">
        <v>17500</v>
      </c>
      <c r="B55" s="352">
        <f t="shared" si="17"/>
        <v>17.5</v>
      </c>
      <c r="C55" t="str">
        <f t="shared" si="30"/>
        <v>109955.74275i</v>
      </c>
      <c r="D55" s="30" t="str">
        <f t="shared" si="31"/>
        <v>-12090265363.7042</v>
      </c>
      <c r="E55" s="30" t="str">
        <f t="shared" si="32"/>
        <v>-1329394108110690i</v>
      </c>
      <c r="G55" s="30" t="e">
        <f t="shared" si="33"/>
        <v>#VALUE!</v>
      </c>
      <c r="I55" s="30" t="e">
        <f t="shared" si="34"/>
        <v>#REF!</v>
      </c>
      <c r="J55" t="e">
        <f t="shared" si="18"/>
        <v>#REF!</v>
      </c>
      <c r="L55" s="30" t="e">
        <f t="shared" si="35"/>
        <v>#VALUE!</v>
      </c>
      <c r="M55" t="e">
        <f t="shared" si="36"/>
        <v>#VALUE!</v>
      </c>
      <c r="N55" t="e">
        <f t="shared" si="48"/>
        <v>#REF!</v>
      </c>
      <c r="O55" s="299" t="e">
        <f t="shared" si="49"/>
        <v>#VALUE!</v>
      </c>
      <c r="P55" s="651">
        <v>0</v>
      </c>
      <c r="Q55" s="397" t="str">
        <f t="shared" si="37"/>
        <v>1+0.0384845099625i</v>
      </c>
      <c r="R55" s="397" t="str">
        <f t="shared" si="38"/>
        <v>-0.000148706024933262i</v>
      </c>
      <c r="S55" s="397" t="str">
        <f t="shared" si="39"/>
        <v>-0.0120854292575587</v>
      </c>
      <c r="T55" s="397" t="str">
        <f t="shared" si="50"/>
        <v>0.987914570742441+0.0383358039375667i</v>
      </c>
      <c r="U55" s="652">
        <v>1</v>
      </c>
      <c r="V55">
        <f t="shared" si="40"/>
        <v>1</v>
      </c>
      <c r="W55">
        <f t="shared" si="23"/>
        <v>0</v>
      </c>
      <c r="X55">
        <f t="shared" si="41"/>
        <v>0</v>
      </c>
      <c r="Z55" t="str">
        <f t="shared" si="42"/>
        <v>1.01222071263725-0.000323696833892721i</v>
      </c>
      <c r="AA55">
        <f t="shared" si="24"/>
        <v>0.10550484102978921</v>
      </c>
      <c r="AB55">
        <f t="shared" si="43"/>
        <v>-1.8322547228315767E-2</v>
      </c>
      <c r="AD55" s="30" t="str">
        <f t="shared" si="44"/>
        <v>2.199114855i</v>
      </c>
      <c r="AE55" s="30" t="str">
        <f t="shared" si="25"/>
        <v>1+2.199114855i</v>
      </c>
      <c r="AF55" s="30" t="e">
        <f t="shared" si="45"/>
        <v>#VALUE!</v>
      </c>
      <c r="AG55" t="e">
        <f t="shared" si="46"/>
        <v>#VALUE!</v>
      </c>
      <c r="AH55" t="str">
        <f t="shared" si="26"/>
        <v>1+2.199114855i</v>
      </c>
      <c r="AI55" s="299" t="e">
        <f t="shared" si="27"/>
        <v>#VALUE!</v>
      </c>
      <c r="AK55" t="e">
        <f t="shared" si="28"/>
        <v>#VALUE!</v>
      </c>
      <c r="AM55" t="e">
        <f t="shared" si="29"/>
        <v>#VALUE!</v>
      </c>
      <c r="AN55" t="e">
        <f t="shared" si="47"/>
        <v>#VALUE!</v>
      </c>
    </row>
    <row r="56" spans="1:40" x14ac:dyDescent="0.25">
      <c r="A56" s="335">
        <v>19000</v>
      </c>
      <c r="B56" s="352">
        <f t="shared" si="17"/>
        <v>19</v>
      </c>
      <c r="C56" t="str">
        <f t="shared" si="30"/>
        <v>119380.5207i</v>
      </c>
      <c r="D56" s="30" t="str">
        <f t="shared" si="31"/>
        <v>-14251708722.6031</v>
      </c>
      <c r="E56" s="30" t="str">
        <f t="shared" si="32"/>
        <v>-1701376408169090i</v>
      </c>
      <c r="G56" s="30" t="e">
        <f t="shared" si="33"/>
        <v>#VALUE!</v>
      </c>
      <c r="I56" s="30" t="e">
        <f t="shared" si="34"/>
        <v>#REF!</v>
      </c>
      <c r="J56" t="e">
        <f t="shared" si="18"/>
        <v>#REF!</v>
      </c>
      <c r="L56" s="30" t="e">
        <f t="shared" si="35"/>
        <v>#VALUE!</v>
      </c>
      <c r="M56" t="e">
        <f t="shared" si="36"/>
        <v>#VALUE!</v>
      </c>
      <c r="N56" t="e">
        <f t="shared" si="48"/>
        <v>#REF!</v>
      </c>
      <c r="O56" s="299" t="e">
        <f t="shared" si="49"/>
        <v>#VALUE!</v>
      </c>
      <c r="P56" s="651">
        <v>0</v>
      </c>
      <c r="Q56" s="397" t="str">
        <f t="shared" si="37"/>
        <v>1+0.041783182245i</v>
      </c>
      <c r="R56" s="397" t="str">
        <f t="shared" si="38"/>
        <v>-0.000190315965017794i</v>
      </c>
      <c r="S56" s="397" t="str">
        <f t="shared" si="39"/>
        <v>-0.0142460080391141</v>
      </c>
      <c r="T56" s="397" t="str">
        <f t="shared" si="50"/>
        <v>0.985753991960886+0.0415928662799822i</v>
      </c>
      <c r="U56" s="652">
        <v>1</v>
      </c>
      <c r="V56">
        <f t="shared" si="40"/>
        <v>1</v>
      </c>
      <c r="W56">
        <f t="shared" si="23"/>
        <v>0</v>
      </c>
      <c r="X56">
        <f t="shared" si="41"/>
        <v>0</v>
      </c>
      <c r="Z56" t="str">
        <f t="shared" si="42"/>
        <v>1.01443433812182-0.000415975520938413i</v>
      </c>
      <c r="AA56">
        <f t="shared" si="24"/>
        <v>0.12447955922984369</v>
      </c>
      <c r="AB56">
        <f t="shared" si="43"/>
        <v>-2.3494512681856306E-2</v>
      </c>
      <c r="AD56" s="30" t="str">
        <f t="shared" si="44"/>
        <v>2.387610414i</v>
      </c>
      <c r="AE56" s="30" t="str">
        <f t="shared" si="25"/>
        <v>1+2.387610414i</v>
      </c>
      <c r="AF56" s="30" t="e">
        <f t="shared" si="45"/>
        <v>#VALUE!</v>
      </c>
      <c r="AG56" t="e">
        <f t="shared" si="46"/>
        <v>#VALUE!</v>
      </c>
      <c r="AH56" t="str">
        <f t="shared" si="26"/>
        <v>1+2.387610414i</v>
      </c>
      <c r="AI56" s="299" t="e">
        <f t="shared" si="27"/>
        <v>#VALUE!</v>
      </c>
      <c r="AK56" t="e">
        <f t="shared" si="28"/>
        <v>#VALUE!</v>
      </c>
      <c r="AM56" t="e">
        <f t="shared" si="29"/>
        <v>#VALUE!</v>
      </c>
      <c r="AN56" t="e">
        <f t="shared" si="47"/>
        <v>#VALUE!</v>
      </c>
    </row>
    <row r="57" spans="1:40" x14ac:dyDescent="0.25">
      <c r="A57" s="335">
        <v>20000</v>
      </c>
      <c r="B57" s="352">
        <f t="shared" si="17"/>
        <v>20</v>
      </c>
      <c r="C57" t="str">
        <f t="shared" si="30"/>
        <v>125663.706i</v>
      </c>
      <c r="D57" s="30" t="str">
        <f t="shared" si="31"/>
        <v>-15791367005.6544</v>
      </c>
      <c r="E57" s="30" t="str">
        <f t="shared" si="32"/>
        <v>-1984401700736660i</v>
      </c>
      <c r="G57" s="30" t="e">
        <f t="shared" si="33"/>
        <v>#VALUE!</v>
      </c>
      <c r="I57" s="30" t="e">
        <f t="shared" si="34"/>
        <v>#REF!</v>
      </c>
      <c r="J57" t="e">
        <f t="shared" si="18"/>
        <v>#REF!</v>
      </c>
      <c r="L57" s="30" t="e">
        <f t="shared" si="35"/>
        <v>#VALUE!</v>
      </c>
      <c r="M57" t="e">
        <f t="shared" si="36"/>
        <v>#VALUE!</v>
      </c>
      <c r="N57" t="e">
        <f t="shared" si="48"/>
        <v>#REF!</v>
      </c>
      <c r="O57" s="299" t="e">
        <f t="shared" si="49"/>
        <v>#VALUE!</v>
      </c>
      <c r="P57" s="651">
        <v>0</v>
      </c>
      <c r="Q57" s="397" t="str">
        <f t="shared" si="37"/>
        <v>1+0.0439822971i</v>
      </c>
      <c r="R57" s="397" t="str">
        <f t="shared" si="38"/>
        <v>-0.000221975174244403i</v>
      </c>
      <c r="S57" s="397" t="str">
        <f t="shared" si="39"/>
        <v>-0.0157850504588521</v>
      </c>
      <c r="T57" s="397" t="str">
        <f t="shared" si="50"/>
        <v>0.984214949541148+0.0437603219257556i</v>
      </c>
      <c r="U57" s="652">
        <v>1</v>
      </c>
      <c r="V57">
        <f t="shared" si="40"/>
        <v>1</v>
      </c>
      <c r="W57">
        <f t="shared" si="23"/>
        <v>0</v>
      </c>
      <c r="X57">
        <f t="shared" si="41"/>
        <v>0</v>
      </c>
      <c r="Z57" t="str">
        <f t="shared" si="42"/>
        <v>1.01601657935512-0.000486596443905099i</v>
      </c>
      <c r="AA57">
        <f t="shared" si="24"/>
        <v>0.13801689257265934</v>
      </c>
      <c r="AB57">
        <f t="shared" si="43"/>
        <v>-2.744041881657654E-2</v>
      </c>
      <c r="AD57" s="30" t="str">
        <f t="shared" si="44"/>
        <v>2.51327412i</v>
      </c>
      <c r="AE57" s="30" t="str">
        <f t="shared" si="25"/>
        <v>1+2.51327412i</v>
      </c>
      <c r="AF57" s="30" t="e">
        <f t="shared" si="45"/>
        <v>#VALUE!</v>
      </c>
      <c r="AG57" t="e">
        <f t="shared" si="46"/>
        <v>#VALUE!</v>
      </c>
      <c r="AH57" t="str">
        <f t="shared" si="26"/>
        <v>1+2.51327412i</v>
      </c>
      <c r="AI57" s="299" t="e">
        <f t="shared" si="27"/>
        <v>#VALUE!</v>
      </c>
      <c r="AK57" t="e">
        <f t="shared" si="28"/>
        <v>#VALUE!</v>
      </c>
      <c r="AM57" t="e">
        <f t="shared" si="29"/>
        <v>#VALUE!</v>
      </c>
      <c r="AN57" t="e">
        <f t="shared" si="47"/>
        <v>#VALUE!</v>
      </c>
    </row>
    <row r="58" spans="1:40" x14ac:dyDescent="0.25">
      <c r="A58" s="335">
        <v>25000</v>
      </c>
      <c r="B58" s="352">
        <f t="shared" si="17"/>
        <v>25</v>
      </c>
      <c r="C58" t="str">
        <f t="shared" si="30"/>
        <v>157079.6325i</v>
      </c>
      <c r="D58" s="30" t="str">
        <f t="shared" si="31"/>
        <v>-24674010946.3351</v>
      </c>
      <c r="E58" s="30" t="str">
        <f t="shared" si="32"/>
        <v>-3875784571751290i</v>
      </c>
      <c r="G58" s="30" t="e">
        <f t="shared" si="33"/>
        <v>#VALUE!</v>
      </c>
      <c r="I58" s="30" t="e">
        <f t="shared" si="34"/>
        <v>#REF!</v>
      </c>
      <c r="J58" t="e">
        <f t="shared" si="18"/>
        <v>#REF!</v>
      </c>
      <c r="L58" s="30" t="e">
        <f t="shared" si="35"/>
        <v>#VALUE!</v>
      </c>
      <c r="M58" t="e">
        <f t="shared" si="36"/>
        <v>#VALUE!</v>
      </c>
      <c r="N58" t="e">
        <f t="shared" si="48"/>
        <v>#REF!</v>
      </c>
      <c r="O58" s="299" t="e">
        <f t="shared" si="49"/>
        <v>#VALUE!</v>
      </c>
      <c r="P58" s="651">
        <v>0</v>
      </c>
      <c r="Q58" s="397" t="str">
        <f t="shared" si="37"/>
        <v>1+0.054977871375i</v>
      </c>
      <c r="R58" s="397" t="str">
        <f t="shared" si="38"/>
        <v>-0.000433545262196099i</v>
      </c>
      <c r="S58" s="397" t="str">
        <f t="shared" si="39"/>
        <v>-0.0246641413419566</v>
      </c>
      <c r="T58" s="397" t="str">
        <f t="shared" si="50"/>
        <v>0.975335858658043+0.0545443261128039i</v>
      </c>
      <c r="U58" s="652">
        <v>1</v>
      </c>
      <c r="V58">
        <f t="shared" si="40"/>
        <v>1</v>
      </c>
      <c r="W58">
        <f t="shared" si="23"/>
        <v>0</v>
      </c>
      <c r="X58">
        <f t="shared" si="41"/>
        <v>0</v>
      </c>
      <c r="Z58" t="str">
        <f t="shared" si="42"/>
        <v>1.02523378537434-0.000966656304033977i</v>
      </c>
      <c r="AA58">
        <f t="shared" si="24"/>
        <v>0.21646204909008521</v>
      </c>
      <c r="AB58">
        <f t="shared" si="43"/>
        <v>-5.4022127344881758E-2</v>
      </c>
      <c r="AD58" s="30" t="str">
        <f t="shared" si="44"/>
        <v>3.14159265i</v>
      </c>
      <c r="AE58" s="30" t="str">
        <f t="shared" si="25"/>
        <v>1+3.14159265i</v>
      </c>
      <c r="AF58" s="30" t="e">
        <f t="shared" si="45"/>
        <v>#VALUE!</v>
      </c>
      <c r="AG58" t="e">
        <f t="shared" si="46"/>
        <v>#VALUE!</v>
      </c>
      <c r="AH58" t="str">
        <f t="shared" si="26"/>
        <v>1+3.14159265i</v>
      </c>
      <c r="AI58" s="299" t="e">
        <f t="shared" si="27"/>
        <v>#VALUE!</v>
      </c>
      <c r="AK58" t="e">
        <f t="shared" si="28"/>
        <v>#VALUE!</v>
      </c>
      <c r="AM58" t="e">
        <f t="shared" si="29"/>
        <v>#VALUE!</v>
      </c>
      <c r="AN58" t="e">
        <f t="shared" si="47"/>
        <v>#VALUE!</v>
      </c>
    </row>
    <row r="59" spans="1:40" x14ac:dyDescent="0.25">
      <c r="A59" s="335">
        <v>30000</v>
      </c>
      <c r="B59" s="352">
        <f t="shared" si="17"/>
        <v>30</v>
      </c>
      <c r="C59" t="str">
        <f t="shared" si="30"/>
        <v>188495.559i</v>
      </c>
      <c r="D59" s="30" t="str">
        <f t="shared" si="31"/>
        <v>-35530575762.7225</v>
      </c>
      <c r="E59" s="30" t="str">
        <f t="shared" si="32"/>
        <v>-6697355739986230i</v>
      </c>
      <c r="G59" s="30" t="e">
        <f t="shared" si="33"/>
        <v>#VALUE!</v>
      </c>
      <c r="I59" s="30" t="e">
        <f t="shared" si="34"/>
        <v>#REF!</v>
      </c>
      <c r="J59" t="e">
        <f t="shared" si="18"/>
        <v>#REF!</v>
      </c>
      <c r="L59" s="30" t="e">
        <f t="shared" si="35"/>
        <v>#VALUE!</v>
      </c>
      <c r="M59" t="e">
        <f t="shared" si="36"/>
        <v>#VALUE!</v>
      </c>
      <c r="N59" t="e">
        <f t="shared" si="48"/>
        <v>#REF!</v>
      </c>
      <c r="O59" s="299" t="e">
        <f t="shared" si="49"/>
        <v>#VALUE!</v>
      </c>
      <c r="P59" s="651">
        <v>0</v>
      </c>
      <c r="Q59" s="397" t="str">
        <f t="shared" si="37"/>
        <v>1+0.06597344565i</v>
      </c>
      <c r="R59" s="397" t="str">
        <f t="shared" si="38"/>
        <v>-0.00074916621307486i</v>
      </c>
      <c r="S59" s="397" t="str">
        <f t="shared" si="39"/>
        <v>-0.0355163635324174</v>
      </c>
      <c r="T59" s="397" t="str">
        <f t="shared" si="50"/>
        <v>0.964483636467583+0.0652242794369251i</v>
      </c>
      <c r="U59" s="652">
        <v>1</v>
      </c>
      <c r="V59">
        <f t="shared" si="40"/>
        <v>1</v>
      </c>
      <c r="W59">
        <f t="shared" si="23"/>
        <v>0</v>
      </c>
      <c r="X59">
        <f t="shared" si="41"/>
        <v>0</v>
      </c>
      <c r="Z59" t="str">
        <f t="shared" si="42"/>
        <v>1.03670887459481-0.00170572482425677i</v>
      </c>
      <c r="AA59">
        <f t="shared" si="24"/>
        <v>0.31314808208663503</v>
      </c>
      <c r="AB59">
        <f t="shared" si="43"/>
        <v>-9.4270192682177109E-2</v>
      </c>
      <c r="AD59" s="30" t="str">
        <f t="shared" si="44"/>
        <v>3.76991118i</v>
      </c>
      <c r="AE59" s="30" t="str">
        <f t="shared" si="25"/>
        <v>1+3.76991118i</v>
      </c>
      <c r="AF59" s="30" t="e">
        <f t="shared" si="45"/>
        <v>#VALUE!</v>
      </c>
      <c r="AG59" t="e">
        <f t="shared" si="46"/>
        <v>#VALUE!</v>
      </c>
      <c r="AH59" t="str">
        <f t="shared" si="26"/>
        <v>1+3.76991118i</v>
      </c>
      <c r="AI59" s="299" t="e">
        <f t="shared" si="27"/>
        <v>#VALUE!</v>
      </c>
      <c r="AK59" t="e">
        <f t="shared" si="28"/>
        <v>#VALUE!</v>
      </c>
      <c r="AM59" t="e">
        <f t="shared" si="29"/>
        <v>#VALUE!</v>
      </c>
      <c r="AN59" t="e">
        <f t="shared" si="47"/>
        <v>#VALUE!</v>
      </c>
    </row>
    <row r="60" spans="1:40" x14ac:dyDescent="0.25">
      <c r="A60" s="335">
        <v>35000</v>
      </c>
      <c r="B60" s="352">
        <f t="shared" si="17"/>
        <v>35</v>
      </c>
      <c r="C60" t="str">
        <f t="shared" si="30"/>
        <v>219911.4855i</v>
      </c>
      <c r="D60" s="30" t="str">
        <f t="shared" si="31"/>
        <v>-48361061454.8167</v>
      </c>
      <c r="E60" s="30" t="str">
        <f t="shared" si="32"/>
        <v>-10635152864885500i</v>
      </c>
      <c r="G60" s="30" t="e">
        <f t="shared" si="33"/>
        <v>#VALUE!</v>
      </c>
      <c r="I60" s="30" t="e">
        <f t="shared" si="34"/>
        <v>#REF!</v>
      </c>
      <c r="J60" t="e">
        <f t="shared" si="18"/>
        <v>#REF!</v>
      </c>
      <c r="L60" s="30" t="e">
        <f t="shared" si="35"/>
        <v>#VALUE!</v>
      </c>
      <c r="M60" t="e">
        <f t="shared" si="36"/>
        <v>#VALUE!</v>
      </c>
      <c r="N60" t="e">
        <f t="shared" si="48"/>
        <v>#REF!</v>
      </c>
      <c r="O60" s="299" t="e">
        <f t="shared" si="49"/>
        <v>#VALUE!</v>
      </c>
      <c r="P60" s="651">
        <v>0</v>
      </c>
      <c r="Q60" s="397" t="str">
        <f t="shared" si="37"/>
        <v>1+0.076969019925i</v>
      </c>
      <c r="R60" s="397" t="str">
        <f t="shared" si="38"/>
        <v>-0.00118964819946609i</v>
      </c>
      <c r="S60" s="397" t="str">
        <f t="shared" si="39"/>
        <v>-0.0483417170302348</v>
      </c>
      <c r="T60" s="397" t="str">
        <f t="shared" si="50"/>
        <v>0.951658282969765+0.0757793717255339i</v>
      </c>
      <c r="U60" s="652">
        <v>1</v>
      </c>
      <c r="V60">
        <f t="shared" si="40"/>
        <v>1</v>
      </c>
      <c r="W60">
        <f t="shared" si="23"/>
        <v>0</v>
      </c>
      <c r="X60">
        <f t="shared" si="41"/>
        <v>0</v>
      </c>
      <c r="Z60" t="str">
        <f t="shared" si="42"/>
        <v>1.05057619978726-0.00277724104542023i</v>
      </c>
      <c r="AA60">
        <f t="shared" si="24"/>
        <v>0.42858150735745315</v>
      </c>
      <c r="AB60">
        <f t="shared" si="43"/>
        <v>-0.15146337803870516</v>
      </c>
      <c r="AD60" s="30" t="str">
        <f t="shared" si="44"/>
        <v>4.39822971i</v>
      </c>
      <c r="AE60" s="30" t="str">
        <f t="shared" si="25"/>
        <v>1+4.39822971i</v>
      </c>
      <c r="AF60" s="30" t="e">
        <f t="shared" si="45"/>
        <v>#VALUE!</v>
      </c>
      <c r="AG60" t="e">
        <f t="shared" si="46"/>
        <v>#VALUE!</v>
      </c>
      <c r="AH60" t="str">
        <f t="shared" si="26"/>
        <v>1+4.39822971i</v>
      </c>
      <c r="AI60" s="299" t="e">
        <f t="shared" si="27"/>
        <v>#VALUE!</v>
      </c>
      <c r="AK60" t="e">
        <f t="shared" si="28"/>
        <v>#VALUE!</v>
      </c>
      <c r="AM60" t="e">
        <f t="shared" si="29"/>
        <v>#VALUE!</v>
      </c>
      <c r="AN60" t="e">
        <f t="shared" si="47"/>
        <v>#VALUE!</v>
      </c>
    </row>
    <row r="61" spans="1:40" x14ac:dyDescent="0.25">
      <c r="A61" s="335">
        <v>40000</v>
      </c>
      <c r="B61" s="352">
        <f t="shared" si="17"/>
        <v>40</v>
      </c>
      <c r="C61" t="str">
        <f t="shared" si="30"/>
        <v>251327.412i</v>
      </c>
      <c r="D61" s="30" t="str">
        <f t="shared" si="31"/>
        <v>-63165468022.6178</v>
      </c>
      <c r="E61" s="30" t="str">
        <f t="shared" si="32"/>
        <v>-15875213605893300i</v>
      </c>
      <c r="G61" s="30" t="e">
        <f t="shared" si="33"/>
        <v>#VALUE!</v>
      </c>
      <c r="I61" s="30" t="e">
        <f t="shared" si="34"/>
        <v>#REF!</v>
      </c>
      <c r="J61" t="e">
        <f t="shared" si="18"/>
        <v>#REF!</v>
      </c>
      <c r="L61" s="30" t="e">
        <f t="shared" si="35"/>
        <v>#VALUE!</v>
      </c>
      <c r="M61" t="e">
        <f t="shared" si="36"/>
        <v>#VALUE!</v>
      </c>
      <c r="N61" t="e">
        <f t="shared" si="48"/>
        <v>#REF!</v>
      </c>
      <c r="O61" s="299" t="e">
        <f t="shared" si="49"/>
        <v>#VALUE!</v>
      </c>
      <c r="P61" s="651">
        <v>0</v>
      </c>
      <c r="Q61" s="397" t="str">
        <f t="shared" si="37"/>
        <v>1+0.0879645942i</v>
      </c>
      <c r="R61" s="397" t="str">
        <f t="shared" si="38"/>
        <v>-0.00177580139395522i</v>
      </c>
      <c r="S61" s="397" t="str">
        <f t="shared" si="39"/>
        <v>-0.0631402018354088</v>
      </c>
      <c r="T61" s="397" t="str">
        <f t="shared" si="50"/>
        <v>0.936859798164591+0.0861887928060448i</v>
      </c>
      <c r="U61" s="652">
        <v>1</v>
      </c>
      <c r="V61">
        <f t="shared" si="40"/>
        <v>1</v>
      </c>
      <c r="W61">
        <f t="shared" si="23"/>
        <v>0</v>
      </c>
      <c r="X61">
        <f t="shared" si="41"/>
        <v>0</v>
      </c>
      <c r="Z61" t="str">
        <f t="shared" si="42"/>
        <v>1.06700286965865-0.00426861635465528i</v>
      </c>
      <c r="AA61">
        <f t="shared" si="24"/>
        <v>0.56338125510820847</v>
      </c>
      <c r="AB61">
        <f t="shared" si="43"/>
        <v>-0.22921437604912545</v>
      </c>
      <c r="AD61" s="30" t="str">
        <f t="shared" si="44"/>
        <v>5.02654824i</v>
      </c>
      <c r="AE61" s="30" t="str">
        <f t="shared" si="25"/>
        <v>1+5.02654824i</v>
      </c>
      <c r="AF61" s="30" t="e">
        <f t="shared" si="45"/>
        <v>#VALUE!</v>
      </c>
      <c r="AG61" t="e">
        <f t="shared" si="46"/>
        <v>#VALUE!</v>
      </c>
      <c r="AH61" t="str">
        <f t="shared" si="26"/>
        <v>1+5.02654824i</v>
      </c>
      <c r="AI61" s="299" t="e">
        <f t="shared" si="27"/>
        <v>#VALUE!</v>
      </c>
      <c r="AK61" t="e">
        <f t="shared" si="28"/>
        <v>#VALUE!</v>
      </c>
      <c r="AM61" t="e">
        <f t="shared" si="29"/>
        <v>#VALUE!</v>
      </c>
      <c r="AN61" t="e">
        <f t="shared" si="47"/>
        <v>#VALUE!</v>
      </c>
    </row>
    <row r="62" spans="1:40" x14ac:dyDescent="0.25">
      <c r="A62" s="335">
        <v>45000</v>
      </c>
      <c r="B62" s="352">
        <f t="shared" si="17"/>
        <v>45</v>
      </c>
      <c r="C62" t="str">
        <f t="shared" si="30"/>
        <v>282743.3385i</v>
      </c>
      <c r="D62" s="30" t="str">
        <f t="shared" si="31"/>
        <v>-79943795466.1256</v>
      </c>
      <c r="E62" s="30" t="str">
        <f t="shared" si="32"/>
        <v>-22603575622453500i</v>
      </c>
      <c r="G62" s="30" t="e">
        <f t="shared" si="33"/>
        <v>#VALUE!</v>
      </c>
      <c r="I62" s="30" t="e">
        <f t="shared" si="34"/>
        <v>#REF!</v>
      </c>
      <c r="J62" t="e">
        <f t="shared" si="18"/>
        <v>#REF!</v>
      </c>
      <c r="L62" s="30" t="e">
        <f t="shared" si="35"/>
        <v>#VALUE!</v>
      </c>
      <c r="M62" t="e">
        <f t="shared" si="36"/>
        <v>#VALUE!</v>
      </c>
      <c r="N62" t="e">
        <f t="shared" si="48"/>
        <v>#REF!</v>
      </c>
      <c r="O62" s="299" t="e">
        <f t="shared" si="49"/>
        <v>#VALUE!</v>
      </c>
      <c r="P62" s="651">
        <v>0</v>
      </c>
      <c r="Q62" s="397" t="str">
        <f t="shared" si="37"/>
        <v>1+0.098960168475i</v>
      </c>
      <c r="R62" s="397" t="str">
        <f t="shared" si="38"/>
        <v>-0.00252843596912765i</v>
      </c>
      <c r="S62" s="397" t="str">
        <f t="shared" si="39"/>
        <v>-0.0799118179479392</v>
      </c>
      <c r="T62" s="397" t="str">
        <f t="shared" si="50"/>
        <v>0.920088182052061+0.0964317325058724i</v>
      </c>
      <c r="U62" s="652">
        <v>1</v>
      </c>
      <c r="V62">
        <f t="shared" si="40"/>
        <v>1</v>
      </c>
      <c r="W62">
        <f t="shared" si="23"/>
        <v>0</v>
      </c>
      <c r="X62">
        <f t="shared" si="41"/>
        <v>0</v>
      </c>
      <c r="Z62" t="str">
        <f t="shared" si="42"/>
        <v>1.08619356566251-0.00628565719175738i</v>
      </c>
      <c r="AA62">
        <f t="shared" si="24"/>
        <v>0.71828994959670589</v>
      </c>
      <c r="AB62">
        <f t="shared" si="43"/>
        <v>-0.33155932819996564</v>
      </c>
      <c r="AD62" s="30" t="str">
        <f t="shared" si="44"/>
        <v>5.65486677i</v>
      </c>
      <c r="AE62" s="30" t="str">
        <f t="shared" si="25"/>
        <v>1+5.65486677i</v>
      </c>
      <c r="AF62" s="30" t="e">
        <f t="shared" si="45"/>
        <v>#VALUE!</v>
      </c>
      <c r="AG62" t="e">
        <f t="shared" si="46"/>
        <v>#VALUE!</v>
      </c>
      <c r="AH62" t="str">
        <f t="shared" si="26"/>
        <v>1+5.65486677i</v>
      </c>
      <c r="AI62" s="299" t="e">
        <f t="shared" si="27"/>
        <v>#VALUE!</v>
      </c>
      <c r="AK62" t="e">
        <f t="shared" si="28"/>
        <v>#VALUE!</v>
      </c>
      <c r="AM62" t="e">
        <f t="shared" si="29"/>
        <v>#VALUE!</v>
      </c>
      <c r="AN62" t="e">
        <f t="shared" si="47"/>
        <v>#VALUE!</v>
      </c>
    </row>
    <row r="63" spans="1:40" x14ac:dyDescent="0.25">
      <c r="A63" s="335">
        <v>50000</v>
      </c>
      <c r="B63" s="352">
        <f t="shared" si="17"/>
        <v>50</v>
      </c>
      <c r="C63" t="str">
        <f t="shared" si="30"/>
        <v>314159.265i</v>
      </c>
      <c r="D63" s="30" t="str">
        <f t="shared" si="31"/>
        <v>-98696043785.3402</v>
      </c>
      <c r="E63" s="30" t="str">
        <f t="shared" si="32"/>
        <v>-31006276574010300i</v>
      </c>
      <c r="G63" s="30" t="e">
        <f t="shared" si="33"/>
        <v>#VALUE!</v>
      </c>
      <c r="I63" s="30" t="e">
        <f t="shared" si="34"/>
        <v>#REF!</v>
      </c>
      <c r="J63" t="e">
        <f t="shared" si="18"/>
        <v>#REF!</v>
      </c>
      <c r="L63" s="30" t="e">
        <f t="shared" si="35"/>
        <v>#VALUE!</v>
      </c>
      <c r="M63" t="e">
        <f t="shared" si="36"/>
        <v>#VALUE!</v>
      </c>
      <c r="N63" t="e">
        <f t="shared" si="48"/>
        <v>#REF!</v>
      </c>
      <c r="O63" s="299" t="e">
        <f t="shared" si="49"/>
        <v>#VALUE!</v>
      </c>
      <c r="P63" s="651">
        <v>0</v>
      </c>
      <c r="Q63" s="397" t="str">
        <f t="shared" si="37"/>
        <v>1+0.10995574275i</v>
      </c>
      <c r="R63" s="397" t="str">
        <f t="shared" si="38"/>
        <v>-0.00346836209756879i</v>
      </c>
      <c r="S63" s="397" t="str">
        <f t="shared" si="39"/>
        <v>-0.0986565653678261</v>
      </c>
      <c r="T63" s="397" t="str">
        <f t="shared" si="50"/>
        <v>0.901343434632174+0.106487380652431i</v>
      </c>
      <c r="U63" s="652">
        <v>1</v>
      </c>
      <c r="V63">
        <f t="shared" si="40"/>
        <v>1</v>
      </c>
      <c r="W63">
        <f t="shared" si="23"/>
        <v>0</v>
      </c>
      <c r="X63">
        <f t="shared" si="41"/>
        <v>0</v>
      </c>
      <c r="Z63" t="str">
        <f t="shared" si="42"/>
        <v>1.10839666057698-0.00895831050462997i</v>
      </c>
      <c r="AA63">
        <f t="shared" si="24"/>
        <v>0.89418785513768861</v>
      </c>
      <c r="AB63">
        <f t="shared" si="43"/>
        <v>-0.46306726345210286</v>
      </c>
      <c r="AD63" s="30" t="str">
        <f t="shared" si="44"/>
        <v>6.2831853i</v>
      </c>
      <c r="AE63" s="30" t="str">
        <f t="shared" si="25"/>
        <v>1+6.2831853i</v>
      </c>
      <c r="AF63" s="30" t="e">
        <f t="shared" si="45"/>
        <v>#VALUE!</v>
      </c>
      <c r="AG63" t="e">
        <f t="shared" si="46"/>
        <v>#VALUE!</v>
      </c>
      <c r="AH63" t="str">
        <f t="shared" si="26"/>
        <v>1+6.2831853i</v>
      </c>
      <c r="AI63" s="299" t="e">
        <f t="shared" si="27"/>
        <v>#VALUE!</v>
      </c>
      <c r="AK63" t="e">
        <f t="shared" si="28"/>
        <v>#VALUE!</v>
      </c>
      <c r="AM63" t="e">
        <f t="shared" si="29"/>
        <v>#VALUE!</v>
      </c>
      <c r="AN63" t="e">
        <f t="shared" si="47"/>
        <v>#VALUE!</v>
      </c>
    </row>
    <row r="64" spans="1:40" x14ac:dyDescent="0.25">
      <c r="A64" s="335">
        <v>55000</v>
      </c>
      <c r="B64" s="352">
        <f t="shared" si="17"/>
        <v>55</v>
      </c>
      <c r="C64" t="str">
        <f t="shared" si="30"/>
        <v>345575.1915i</v>
      </c>
      <c r="D64" s="30" t="str">
        <f t="shared" si="31"/>
        <v>-119422212980.262</v>
      </c>
      <c r="E64" s="30" t="str">
        <f t="shared" si="32"/>
        <v>-41269354120007700i</v>
      </c>
      <c r="G64" s="30" t="e">
        <f t="shared" si="33"/>
        <v>#VALUE!</v>
      </c>
      <c r="I64" s="30" t="e">
        <f t="shared" si="34"/>
        <v>#REF!</v>
      </c>
      <c r="J64" t="e">
        <f t="shared" si="18"/>
        <v>#REF!</v>
      </c>
      <c r="L64" s="30" t="e">
        <f t="shared" si="35"/>
        <v>#VALUE!</v>
      </c>
      <c r="M64" t="e">
        <f t="shared" si="36"/>
        <v>#VALUE!</v>
      </c>
      <c r="N64" t="e">
        <f t="shared" si="48"/>
        <v>#REF!</v>
      </c>
      <c r="O64" s="299" t="e">
        <f t="shared" si="49"/>
        <v>#VALUE!</v>
      </c>
      <c r="P64" s="651">
        <v>0</v>
      </c>
      <c r="Q64" s="397" t="str">
        <f t="shared" si="37"/>
        <v>1+0.120951317025i</v>
      </c>
      <c r="R64" s="397" t="str">
        <f t="shared" si="38"/>
        <v>-0.00461638995186406i</v>
      </c>
      <c r="S64" s="397" t="str">
        <f t="shared" si="39"/>
        <v>-0.11937444409507</v>
      </c>
      <c r="T64" s="397" t="str">
        <f t="shared" si="50"/>
        <v>0.88062555590493+0.116334927073136i</v>
      </c>
      <c r="U64" s="652">
        <v>1</v>
      </c>
      <c r="V64">
        <f t="shared" si="40"/>
        <v>1</v>
      </c>
      <c r="W64">
        <f t="shared" si="23"/>
        <v>0</v>
      </c>
      <c r="X64">
        <f t="shared" si="41"/>
        <v>0</v>
      </c>
      <c r="Z64" t="str">
        <f t="shared" si="42"/>
        <v>1.1339119415625-0.0124482487823856i</v>
      </c>
      <c r="AA64">
        <f t="shared" si="24"/>
        <v>1.0921099587044569</v>
      </c>
      <c r="AB64">
        <f t="shared" si="43"/>
        <v>-0.628976061964027</v>
      </c>
      <c r="AD64" s="30" t="str">
        <f t="shared" si="44"/>
        <v>6.91150383i</v>
      </c>
      <c r="AE64" s="30" t="str">
        <f t="shared" si="25"/>
        <v>1+6.91150383i</v>
      </c>
      <c r="AF64" s="30" t="e">
        <f t="shared" si="45"/>
        <v>#VALUE!</v>
      </c>
      <c r="AG64" t="e">
        <f t="shared" si="46"/>
        <v>#VALUE!</v>
      </c>
      <c r="AH64" t="str">
        <f t="shared" si="26"/>
        <v>1+6.91150383i</v>
      </c>
      <c r="AI64" s="299" t="e">
        <f t="shared" si="27"/>
        <v>#VALUE!</v>
      </c>
      <c r="AK64" t="e">
        <f t="shared" si="28"/>
        <v>#VALUE!</v>
      </c>
      <c r="AM64" t="e">
        <f t="shared" si="29"/>
        <v>#VALUE!</v>
      </c>
      <c r="AN64" t="e">
        <f t="shared" si="47"/>
        <v>#VALUE!</v>
      </c>
    </row>
    <row r="65" spans="1:40" x14ac:dyDescent="0.25">
      <c r="A65" s="335">
        <v>60000</v>
      </c>
      <c r="B65" s="352">
        <f t="shared" si="17"/>
        <v>60</v>
      </c>
      <c r="C65" t="str">
        <f t="shared" si="30"/>
        <v>376991.118i</v>
      </c>
      <c r="D65" s="30" t="str">
        <f t="shared" si="31"/>
        <v>-142122303050.89</v>
      </c>
      <c r="E65" s="30" t="str">
        <f t="shared" si="32"/>
        <v>-53578845919889800i</v>
      </c>
      <c r="G65" s="30" t="e">
        <f t="shared" si="33"/>
        <v>#VALUE!</v>
      </c>
      <c r="I65" s="30" t="e">
        <f t="shared" si="34"/>
        <v>#REF!</v>
      </c>
      <c r="J65" t="e">
        <f t="shared" si="18"/>
        <v>#REF!</v>
      </c>
      <c r="L65" s="30" t="e">
        <f t="shared" si="35"/>
        <v>#VALUE!</v>
      </c>
      <c r="M65" t="e">
        <f t="shared" si="36"/>
        <v>#VALUE!</v>
      </c>
      <c r="N65" t="e">
        <f t="shared" si="48"/>
        <v>#REF!</v>
      </c>
      <c r="O65" s="299" t="e">
        <f t="shared" si="49"/>
        <v>#VALUE!</v>
      </c>
      <c r="P65" s="651">
        <v>0</v>
      </c>
      <c r="Q65" s="397" t="str">
        <f t="shared" si="37"/>
        <v>1+0.1319468913i</v>
      </c>
      <c r="R65" s="397" t="str">
        <f t="shared" si="38"/>
        <v>-0.00599332970459887i</v>
      </c>
      <c r="S65" s="397" t="str">
        <f t="shared" si="39"/>
        <v>-0.14206545412967</v>
      </c>
      <c r="T65" s="397" t="str">
        <f t="shared" si="50"/>
        <v>0.85793454587033+0.125953561595401i</v>
      </c>
      <c r="U65" s="652">
        <v>1</v>
      </c>
      <c r="V65">
        <f t="shared" si="40"/>
        <v>1</v>
      </c>
      <c r="W65">
        <f t="shared" si="23"/>
        <v>0</v>
      </c>
      <c r="X65">
        <f t="shared" si="41"/>
        <v>0</v>
      </c>
      <c r="Z65" t="str">
        <f t="shared" si="42"/>
        <v>1.1631003258263-0.0169590294511739i</v>
      </c>
      <c r="AA65">
        <f t="shared" si="24"/>
        <v>1.3132667689997053</v>
      </c>
      <c r="AB65">
        <f t="shared" si="43"/>
        <v>-0.83536384612322845</v>
      </c>
      <c r="AD65" s="30" t="str">
        <f t="shared" si="44"/>
        <v>7.53982236i</v>
      </c>
      <c r="AE65" s="30" t="str">
        <f t="shared" si="25"/>
        <v>1+7.53982236i</v>
      </c>
      <c r="AF65" s="30" t="e">
        <f t="shared" si="45"/>
        <v>#VALUE!</v>
      </c>
      <c r="AG65" t="e">
        <f t="shared" si="46"/>
        <v>#VALUE!</v>
      </c>
      <c r="AH65" t="str">
        <f t="shared" si="26"/>
        <v>1+7.53982236i</v>
      </c>
      <c r="AI65" s="299" t="e">
        <f t="shared" si="27"/>
        <v>#VALUE!</v>
      </c>
      <c r="AK65" t="e">
        <f t="shared" si="28"/>
        <v>#VALUE!</v>
      </c>
      <c r="AM65" t="e">
        <f t="shared" si="29"/>
        <v>#VALUE!</v>
      </c>
      <c r="AN65" t="e">
        <f t="shared" si="47"/>
        <v>#VALUE!</v>
      </c>
    </row>
    <row r="66" spans="1:40" x14ac:dyDescent="0.25">
      <c r="A66" s="335">
        <v>65000</v>
      </c>
      <c r="B66" s="352">
        <f t="shared" si="17"/>
        <v>65</v>
      </c>
      <c r="C66" t="str">
        <f t="shared" si="30"/>
        <v>408407.0445i</v>
      </c>
      <c r="D66" s="30" t="str">
        <f t="shared" si="31"/>
        <v>-166796313997.225</v>
      </c>
      <c r="E66" s="30" t="str">
        <f t="shared" si="32"/>
        <v>-68120789633100600i</v>
      </c>
      <c r="G66" s="30" t="e">
        <f t="shared" si="33"/>
        <v>#VALUE!</v>
      </c>
      <c r="I66" s="30" t="e">
        <f t="shared" si="34"/>
        <v>#REF!</v>
      </c>
      <c r="J66" t="e">
        <f t="shared" si="18"/>
        <v>#REF!</v>
      </c>
      <c r="L66" s="30" t="e">
        <f t="shared" si="35"/>
        <v>#VALUE!</v>
      </c>
      <c r="M66" t="e">
        <f t="shared" si="36"/>
        <v>#VALUE!</v>
      </c>
      <c r="N66" t="e">
        <f t="shared" si="48"/>
        <v>#REF!</v>
      </c>
      <c r="O66" s="299" t="e">
        <f t="shared" si="49"/>
        <v>#VALUE!</v>
      </c>
      <c r="P66" s="651">
        <v>0</v>
      </c>
      <c r="Q66" s="397" t="str">
        <f t="shared" si="37"/>
        <v>1+0.142942465575i</v>
      </c>
      <c r="R66" s="397" t="str">
        <f t="shared" si="38"/>
        <v>-0.00761999152835863i</v>
      </c>
      <c r="S66" s="397" t="str">
        <f t="shared" si="39"/>
        <v>-0.166729595471626</v>
      </c>
      <c r="T66" s="397" t="str">
        <f t="shared" si="50"/>
        <v>0.833270404528374+0.135322474046641i</v>
      </c>
      <c r="U66" s="652">
        <v>1</v>
      </c>
      <c r="V66">
        <f t="shared" si="40"/>
        <v>1</v>
      </c>
      <c r="W66">
        <f t="shared" si="23"/>
        <v>0</v>
      </c>
      <c r="X66">
        <f t="shared" si="41"/>
        <v>0</v>
      </c>
      <c r="Z66" t="str">
        <f t="shared" si="42"/>
        <v>1.19639605981863-0.0227498889631618i</v>
      </c>
      <c r="AA66">
        <f t="shared" si="24"/>
        <v>1.5590695347266561</v>
      </c>
      <c r="AB66">
        <f t="shared" si="43"/>
        <v>-1.0893679748558442</v>
      </c>
      <c r="AD66" s="30" t="str">
        <f t="shared" si="44"/>
        <v>8.16814089i</v>
      </c>
      <c r="AE66" s="30" t="str">
        <f t="shared" si="25"/>
        <v>1+8.16814089i</v>
      </c>
      <c r="AF66" s="30" t="e">
        <f t="shared" si="45"/>
        <v>#VALUE!</v>
      </c>
      <c r="AG66" t="e">
        <f t="shared" si="46"/>
        <v>#VALUE!</v>
      </c>
      <c r="AH66" t="str">
        <f t="shared" si="26"/>
        <v>1+8.16814089i</v>
      </c>
      <c r="AI66" s="299" t="e">
        <f t="shared" si="27"/>
        <v>#VALUE!</v>
      </c>
      <c r="AK66" t="e">
        <f t="shared" si="28"/>
        <v>#VALUE!</v>
      </c>
      <c r="AM66" t="e">
        <f t="shared" si="29"/>
        <v>#VALUE!</v>
      </c>
      <c r="AN66" t="e">
        <f t="shared" si="47"/>
        <v>#VALUE!</v>
      </c>
    </row>
    <row r="67" spans="1:40" x14ac:dyDescent="0.25">
      <c r="A67" s="335">
        <v>70000</v>
      </c>
      <c r="B67" s="352">
        <f t="shared" si="17"/>
        <v>70</v>
      </c>
      <c r="C67" t="str">
        <f t="shared" si="30"/>
        <v>439822.971i</v>
      </c>
      <c r="D67" s="30" t="str">
        <f t="shared" si="31"/>
        <v>-193444245819.267</v>
      </c>
      <c r="E67" s="30" t="str">
        <f t="shared" si="32"/>
        <v>-85081222919084300i</v>
      </c>
      <c r="G67" s="30" t="e">
        <f t="shared" si="33"/>
        <v>#VALUE!</v>
      </c>
      <c r="I67" s="30" t="e">
        <f t="shared" si="34"/>
        <v>#REF!</v>
      </c>
      <c r="J67" t="e">
        <f t="shared" si="18"/>
        <v>#REF!</v>
      </c>
      <c r="L67" s="30" t="e">
        <f t="shared" si="35"/>
        <v>#VALUE!</v>
      </c>
      <c r="M67" t="e">
        <f t="shared" si="36"/>
        <v>#VALUE!</v>
      </c>
      <c r="N67" t="e">
        <f t="shared" si="48"/>
        <v>#REF!</v>
      </c>
      <c r="O67" s="299" t="e">
        <f t="shared" si="49"/>
        <v>#VALUE!</v>
      </c>
      <c r="P67" s="651">
        <v>0</v>
      </c>
      <c r="Q67" s="397" t="str">
        <f t="shared" si="37"/>
        <v>1+0.15393803985i</v>
      </c>
      <c r="R67" s="397" t="str">
        <f t="shared" si="38"/>
        <v>-0.00951718559572877i</v>
      </c>
      <c r="S67" s="397" t="str">
        <f t="shared" si="39"/>
        <v>-0.193366868120939</v>
      </c>
      <c r="T67" s="397" t="str">
        <f t="shared" si="50"/>
        <v>0.806633131879061+0.144420854254271i</v>
      </c>
      <c r="U67" s="652">
        <v>1</v>
      </c>
      <c r="V67">
        <f t="shared" si="40"/>
        <v>1</v>
      </c>
      <c r="W67">
        <f t="shared" si="23"/>
        <v>0</v>
      </c>
      <c r="X67">
        <f t="shared" si="41"/>
        <v>0</v>
      </c>
      <c r="Z67" t="str">
        <f t="shared" si="42"/>
        <v>1.23432201043572-0.0301547238275632i</v>
      </c>
      <c r="AA67">
        <f t="shared" si="24"/>
        <v>1.8311607132208529</v>
      </c>
      <c r="AB67">
        <f t="shared" si="43"/>
        <v>-1.3994685289579945</v>
      </c>
      <c r="AD67" s="30" t="str">
        <f t="shared" si="44"/>
        <v>8.79645942i</v>
      </c>
      <c r="AE67" s="30" t="str">
        <f t="shared" si="25"/>
        <v>1+8.79645942i</v>
      </c>
      <c r="AF67" s="30" t="e">
        <f t="shared" si="45"/>
        <v>#VALUE!</v>
      </c>
      <c r="AG67" t="e">
        <f t="shared" si="46"/>
        <v>#VALUE!</v>
      </c>
      <c r="AH67" t="str">
        <f t="shared" si="26"/>
        <v>1+8.79645942i</v>
      </c>
      <c r="AI67" s="299" t="e">
        <f t="shared" si="27"/>
        <v>#VALUE!</v>
      </c>
      <c r="AK67" t="e">
        <f t="shared" si="28"/>
        <v>#VALUE!</v>
      </c>
      <c r="AM67" t="e">
        <f t="shared" si="29"/>
        <v>#VALUE!</v>
      </c>
      <c r="AN67" t="e">
        <f t="shared" si="47"/>
        <v>#VALUE!</v>
      </c>
    </row>
    <row r="68" spans="1:40" x14ac:dyDescent="0.25">
      <c r="A68" s="335">
        <v>75000</v>
      </c>
      <c r="B68" s="352">
        <f t="shared" si="17"/>
        <v>75</v>
      </c>
      <c r="C68" t="str">
        <f t="shared" si="30"/>
        <v>471238.8975i</v>
      </c>
      <c r="D68" s="30" t="str">
        <f t="shared" si="31"/>
        <v>-222066098517.016</v>
      </c>
      <c r="E68" s="30" t="str">
        <f t="shared" si="32"/>
        <v>-104646183437285000i</v>
      </c>
      <c r="G68" s="30" t="e">
        <f t="shared" si="33"/>
        <v>#VALUE!</v>
      </c>
      <c r="I68" s="30" t="e">
        <f t="shared" si="34"/>
        <v>#REF!</v>
      </c>
      <c r="J68" t="e">
        <f t="shared" si="18"/>
        <v>#REF!</v>
      </c>
      <c r="L68" s="30" t="e">
        <f t="shared" si="35"/>
        <v>#VALUE!</v>
      </c>
      <c r="M68" t="e">
        <f t="shared" si="36"/>
        <v>#VALUE!</v>
      </c>
      <c r="N68" t="e">
        <f t="shared" si="48"/>
        <v>#REF!</v>
      </c>
      <c r="O68" s="299" t="e">
        <f t="shared" si="49"/>
        <v>#VALUE!</v>
      </c>
      <c r="P68" s="651">
        <v>0</v>
      </c>
      <c r="Q68" s="397" t="str">
        <f t="shared" si="37"/>
        <v>1+0.164933614125i</v>
      </c>
      <c r="R68" s="397" t="str">
        <f t="shared" si="38"/>
        <v>-0.0117057220792947i</v>
      </c>
      <c r="S68" s="397" t="str">
        <f t="shared" si="39"/>
        <v>-0.221977272077609</v>
      </c>
      <c r="T68" s="397" t="str">
        <f t="shared" si="50"/>
        <v>0.778022727922391+0.153227892045705i</v>
      </c>
      <c r="U68" s="652">
        <v>1</v>
      </c>
      <c r="V68">
        <f t="shared" si="40"/>
        <v>1</v>
      </c>
      <c r="W68">
        <f t="shared" si="23"/>
        <v>0</v>
      </c>
      <c r="X68">
        <f t="shared" si="41"/>
        <v>0</v>
      </c>
      <c r="Z68" t="str">
        <f t="shared" si="42"/>
        <v>1.27750877655212-0.0396085636961541i</v>
      </c>
      <c r="AA68">
        <f t="shared" si="24"/>
        <v>2.1314506343374608</v>
      </c>
      <c r="AB68">
        <f t="shared" si="43"/>
        <v>-1.775860031243816</v>
      </c>
      <c r="AD68" s="30" t="str">
        <f t="shared" si="44"/>
        <v>9.42477795i</v>
      </c>
      <c r="AE68" s="30" t="str">
        <f t="shared" si="25"/>
        <v>1+9.42477795i</v>
      </c>
      <c r="AF68" s="30" t="e">
        <f t="shared" si="45"/>
        <v>#VALUE!</v>
      </c>
      <c r="AG68" t="e">
        <f t="shared" si="46"/>
        <v>#VALUE!</v>
      </c>
      <c r="AH68" t="str">
        <f t="shared" si="26"/>
        <v>1+9.42477795i</v>
      </c>
      <c r="AI68" s="299" t="e">
        <f t="shared" si="27"/>
        <v>#VALUE!</v>
      </c>
      <c r="AK68" t="e">
        <f t="shared" si="28"/>
        <v>#VALUE!</v>
      </c>
      <c r="AM68" t="e">
        <f t="shared" si="29"/>
        <v>#VALUE!</v>
      </c>
      <c r="AN68" t="e">
        <f t="shared" si="47"/>
        <v>#VALUE!</v>
      </c>
    </row>
    <row r="69" spans="1:40" x14ac:dyDescent="0.25">
      <c r="A69" s="335">
        <v>80000</v>
      </c>
      <c r="B69" s="352">
        <f t="shared" si="17"/>
        <v>80</v>
      </c>
      <c r="C69" t="str">
        <f t="shared" si="30"/>
        <v>502654.824i</v>
      </c>
      <c r="D69" s="30" t="str">
        <f t="shared" si="31"/>
        <v>-252661872090.471</v>
      </c>
      <c r="E69" s="30" t="str">
        <f t="shared" si="32"/>
        <v>-127001708847146000i</v>
      </c>
      <c r="G69" s="30" t="e">
        <f t="shared" si="33"/>
        <v>#VALUE!</v>
      </c>
      <c r="I69" s="30" t="e">
        <f t="shared" si="34"/>
        <v>#REF!</v>
      </c>
      <c r="J69" t="e">
        <f t="shared" si="18"/>
        <v>#REF!</v>
      </c>
      <c r="L69" s="30" t="e">
        <f t="shared" si="35"/>
        <v>#VALUE!</v>
      </c>
      <c r="M69" t="e">
        <f t="shared" si="36"/>
        <v>#VALUE!</v>
      </c>
      <c r="N69" t="e">
        <f t="shared" si="19"/>
        <v>#REF!</v>
      </c>
      <c r="O69" s="299" t="e">
        <f t="shared" si="20"/>
        <v>#VALUE!</v>
      </c>
      <c r="P69" s="651">
        <v>0</v>
      </c>
      <c r="Q69" s="397" t="str">
        <f t="shared" si="37"/>
        <v>1+0.1759291884i</v>
      </c>
      <c r="R69" s="397" t="str">
        <f t="shared" si="38"/>
        <v>-0.0142064111516417i</v>
      </c>
      <c r="S69" s="397" t="str">
        <f t="shared" si="39"/>
        <v>-0.252560807341635</v>
      </c>
      <c r="T69" s="397" t="str">
        <f t="shared" si="21"/>
        <v>0.747439192658365+0.161722777248358i</v>
      </c>
      <c r="U69" s="652">
        <v>1</v>
      </c>
      <c r="V69">
        <f t="shared" si="40"/>
        <v>1</v>
      </c>
      <c r="W69">
        <f t="shared" si="23"/>
        <v>0</v>
      </c>
      <c r="X69">
        <f t="shared" si="41"/>
        <v>0</v>
      </c>
      <c r="Z69" t="str">
        <f t="shared" si="42"/>
        <v>1.32671843606306-0.0516850094110243i</v>
      </c>
      <c r="AA69">
        <f t="shared" si="24"/>
        <v>2.4621613570964245</v>
      </c>
      <c r="AB69">
        <f t="shared" si="43"/>
        <v>-2.2309452403961947</v>
      </c>
      <c r="AD69" s="30" t="str">
        <f t="shared" si="44"/>
        <v>10.05309648i</v>
      </c>
      <c r="AE69" s="30" t="str">
        <f t="shared" si="25"/>
        <v>1+10.05309648i</v>
      </c>
      <c r="AF69" s="30" t="e">
        <f t="shared" si="45"/>
        <v>#VALUE!</v>
      </c>
      <c r="AG69" t="e">
        <f t="shared" si="46"/>
        <v>#VALUE!</v>
      </c>
      <c r="AH69" t="str">
        <f t="shared" si="26"/>
        <v>1+10.05309648i</v>
      </c>
      <c r="AI69" s="299" t="e">
        <f t="shared" si="27"/>
        <v>#VALUE!</v>
      </c>
      <c r="AK69" t="e">
        <f t="shared" si="28"/>
        <v>#VALUE!</v>
      </c>
      <c r="AM69" t="e">
        <f t="shared" si="29"/>
        <v>#VALUE!</v>
      </c>
      <c r="AN69" t="e">
        <f t="shared" si="47"/>
        <v>#VALUE!</v>
      </c>
    </row>
    <row r="70" spans="1:40" x14ac:dyDescent="0.25">
      <c r="A70" s="335">
        <v>90000</v>
      </c>
      <c r="B70" s="352">
        <f t="shared" si="17"/>
        <v>90</v>
      </c>
      <c r="C70" t="str">
        <f t="shared" si="30"/>
        <v>565486.677i</v>
      </c>
      <c r="D70" s="30" t="str">
        <f t="shared" si="31"/>
        <v>-319775181864.502</v>
      </c>
      <c r="E70" s="30" t="str">
        <f t="shared" si="32"/>
        <v>-180828604979628000i</v>
      </c>
      <c r="G70" s="30" t="e">
        <f t="shared" si="33"/>
        <v>#VALUE!</v>
      </c>
      <c r="I70" s="30" t="e">
        <f t="shared" si="34"/>
        <v>#REF!</v>
      </c>
      <c r="J70" t="e">
        <f t="shared" si="18"/>
        <v>#REF!</v>
      </c>
      <c r="L70" s="30" t="e">
        <f t="shared" si="35"/>
        <v>#VALUE!</v>
      </c>
      <c r="M70" t="e">
        <f t="shared" si="36"/>
        <v>#VALUE!</v>
      </c>
      <c r="N70" t="e">
        <f t="shared" si="19"/>
        <v>#REF!</v>
      </c>
      <c r="O70" s="299" t="e">
        <f t="shared" si="20"/>
        <v>#VALUE!</v>
      </c>
      <c r="P70" s="651">
        <v>0</v>
      </c>
      <c r="Q70" s="397" t="str">
        <f t="shared" si="37"/>
        <v>1+0.19792033695i</v>
      </c>
      <c r="R70" s="397" t="str">
        <f t="shared" si="38"/>
        <v>-0.0202274877530212i</v>
      </c>
      <c r="S70" s="397" t="str">
        <f t="shared" si="39"/>
        <v>-0.319647271791756</v>
      </c>
      <c r="T70" s="397" t="str">
        <f t="shared" si="21"/>
        <v>0.680352728208244+0.177692849196979i</v>
      </c>
      <c r="U70" s="652">
        <v>1</v>
      </c>
      <c r="V70">
        <f t="shared" si="40"/>
        <v>1</v>
      </c>
      <c r="W70">
        <f t="shared" si="23"/>
        <v>0</v>
      </c>
      <c r="X70">
        <f t="shared" si="41"/>
        <v>0</v>
      </c>
      <c r="Z70" t="str">
        <f t="shared" si="42"/>
        <v>1.44709298035524-0.0870397594174791i</v>
      </c>
      <c r="AA70">
        <f t="shared" si="24"/>
        <v>3.2256122149724868</v>
      </c>
      <c r="AB70">
        <f t="shared" si="43"/>
        <v>-3.4420800766964819</v>
      </c>
      <c r="AD70" s="30" t="str">
        <f t="shared" si="44"/>
        <v>11.30973354i</v>
      </c>
      <c r="AE70" s="30" t="str">
        <f t="shared" si="25"/>
        <v>1+11.30973354i</v>
      </c>
      <c r="AF70" s="30" t="e">
        <f t="shared" si="45"/>
        <v>#VALUE!</v>
      </c>
      <c r="AG70" t="e">
        <f t="shared" si="46"/>
        <v>#VALUE!</v>
      </c>
      <c r="AH70" t="str">
        <f t="shared" si="26"/>
        <v>1+11.30973354i</v>
      </c>
      <c r="AI70" s="299" t="e">
        <f t="shared" si="27"/>
        <v>#VALUE!</v>
      </c>
      <c r="AK70" t="e">
        <f t="shared" si="28"/>
        <v>#VALUE!</v>
      </c>
      <c r="AM70" t="e">
        <f t="shared" si="29"/>
        <v>#VALUE!</v>
      </c>
      <c r="AN70" t="e">
        <f t="shared" si="47"/>
        <v>#VALUE!</v>
      </c>
    </row>
    <row r="71" spans="1:40" x14ac:dyDescent="0.25">
      <c r="A71" s="335">
        <v>100000</v>
      </c>
      <c r="B71" s="352">
        <f t="shared" si="17"/>
        <v>100</v>
      </c>
      <c r="C71" t="str">
        <f t="shared" si="30"/>
        <v>628318.53i</v>
      </c>
      <c r="D71" s="30" t="str">
        <f t="shared" si="31"/>
        <v>-394784175141.361</v>
      </c>
      <c r="E71" s="30" t="str">
        <f t="shared" si="32"/>
        <v>-248050212592082000i</v>
      </c>
      <c r="G71" s="30" t="e">
        <f t="shared" si="33"/>
        <v>#VALUE!</v>
      </c>
      <c r="I71" s="30" t="e">
        <f t="shared" si="34"/>
        <v>#REF!</v>
      </c>
      <c r="J71" t="e">
        <f t="shared" si="18"/>
        <v>#REF!</v>
      </c>
      <c r="L71" s="30" t="e">
        <f t="shared" si="35"/>
        <v>#VALUE!</v>
      </c>
      <c r="M71" t="e">
        <f t="shared" si="36"/>
        <v>#VALUE!</v>
      </c>
      <c r="N71" t="e">
        <f t="shared" si="19"/>
        <v>#REF!</v>
      </c>
      <c r="O71" s="299" t="e">
        <f t="shared" si="20"/>
        <v>#VALUE!</v>
      </c>
      <c r="P71" s="651">
        <v>0</v>
      </c>
      <c r="Q71" s="397" t="str">
        <f t="shared" si="37"/>
        <v>1+0.2199114855i</v>
      </c>
      <c r="R71" s="397" t="str">
        <f t="shared" si="38"/>
        <v>-0.0277468967805503i</v>
      </c>
      <c r="S71" s="397" t="str">
        <f t="shared" si="39"/>
        <v>-0.394626261471305</v>
      </c>
      <c r="T71" s="397" t="str">
        <f t="shared" si="21"/>
        <v>0.605373738528695+0.19216458871945i</v>
      </c>
      <c r="U71" s="652">
        <v>1</v>
      </c>
      <c r="V71">
        <f t="shared" si="40"/>
        <v>1</v>
      </c>
      <c r="W71">
        <f t="shared" si="23"/>
        <v>0</v>
      </c>
      <c r="X71">
        <f t="shared" si="41"/>
        <v>0</v>
      </c>
      <c r="Z71" t="str">
        <f t="shared" si="42"/>
        <v>1.60541786286688-0.146344269997555i</v>
      </c>
      <c r="AA71">
        <f t="shared" si="24"/>
        <v>4.1477004385549856</v>
      </c>
      <c r="AB71">
        <f t="shared" si="43"/>
        <v>-5.208487782900634</v>
      </c>
      <c r="AD71" s="30" t="str">
        <f t="shared" si="44"/>
        <v>12.5663706i</v>
      </c>
      <c r="AE71" s="30" t="str">
        <f t="shared" si="25"/>
        <v>1+12.5663706i</v>
      </c>
      <c r="AF71" s="30" t="e">
        <f t="shared" si="45"/>
        <v>#VALUE!</v>
      </c>
      <c r="AG71" t="e">
        <f t="shared" si="46"/>
        <v>#VALUE!</v>
      </c>
      <c r="AH71" t="str">
        <f t="shared" si="26"/>
        <v>1+12.5663706i</v>
      </c>
      <c r="AI71" s="299" t="e">
        <f t="shared" si="27"/>
        <v>#VALUE!</v>
      </c>
      <c r="AK71" t="e">
        <f t="shared" si="28"/>
        <v>#VALUE!</v>
      </c>
      <c r="AM71" t="e">
        <f t="shared" si="29"/>
        <v>#VALUE!</v>
      </c>
      <c r="AN71" t="e">
        <f t="shared" si="47"/>
        <v>#VALUE!</v>
      </c>
    </row>
    <row r="72" spans="1:40" x14ac:dyDescent="0.25">
      <c r="A72" s="335">
        <v>110000</v>
      </c>
      <c r="B72" s="352">
        <f t="shared" si="17"/>
        <v>110</v>
      </c>
      <c r="C72" t="str">
        <f t="shared" si="30"/>
        <v>691150.383i</v>
      </c>
      <c r="D72" s="30" t="str">
        <f t="shared" si="31"/>
        <v>-477688851921.047</v>
      </c>
      <c r="E72" s="30" t="str">
        <f t="shared" si="32"/>
        <v>-330154832960062000i</v>
      </c>
      <c r="G72" s="30" t="e">
        <f t="shared" si="33"/>
        <v>#VALUE!</v>
      </c>
      <c r="I72" s="30" t="e">
        <f t="shared" si="34"/>
        <v>#REF!</v>
      </c>
      <c r="J72" t="e">
        <f t="shared" si="18"/>
        <v>#REF!</v>
      </c>
      <c r="L72" s="30" t="e">
        <f t="shared" si="35"/>
        <v>#VALUE!</v>
      </c>
      <c r="M72" t="e">
        <f t="shared" si="36"/>
        <v>#VALUE!</v>
      </c>
      <c r="N72" t="e">
        <f t="shared" ref="N72:N78" si="51">J72</f>
        <v>#REF!</v>
      </c>
      <c r="O72" s="299" t="e">
        <f t="shared" ref="O72:O78" si="52">IMSUM(L72:N72)</f>
        <v>#VALUE!</v>
      </c>
      <c r="P72" s="651">
        <v>1</v>
      </c>
      <c r="Q72" s="397" t="str">
        <f t="shared" si="37"/>
        <v>1+0.24190263405i</v>
      </c>
      <c r="R72" s="397" t="str">
        <f t="shared" si="38"/>
        <v>-0.0369311196149125i</v>
      </c>
      <c r="S72" s="397" t="str">
        <f t="shared" si="39"/>
        <v>-0.477497776380279</v>
      </c>
      <c r="T72" s="397" t="str">
        <f t="shared" ref="T72:T78" si="53">IMSUM(S72,R72,Q72)</f>
        <v>0.522502223619721+0.204971514435088i</v>
      </c>
      <c r="U72" s="652">
        <v>1</v>
      </c>
      <c r="V72">
        <f t="shared" si="40"/>
        <v>1</v>
      </c>
      <c r="W72">
        <f t="shared" si="23"/>
        <v>0</v>
      </c>
      <c r="X72">
        <f t="shared" si="41"/>
        <v>0</v>
      </c>
      <c r="Z72" t="str">
        <f t="shared" si="42"/>
        <v>1.81601781079008-0.249432980334241i</v>
      </c>
      <c r="AA72">
        <f t="shared" si="24"/>
        <v>5.2635704959533189</v>
      </c>
      <c r="AB72">
        <f t="shared" si="43"/>
        <v>-7.8207323086855629</v>
      </c>
      <c r="AD72" s="30" t="str">
        <f t="shared" si="44"/>
        <v>13.82300766i</v>
      </c>
      <c r="AE72" s="30" t="str">
        <f t="shared" si="25"/>
        <v>1+13.82300766i</v>
      </c>
      <c r="AF72" s="30" t="e">
        <f t="shared" si="45"/>
        <v>#VALUE!</v>
      </c>
      <c r="AG72" t="e">
        <f t="shared" si="46"/>
        <v>#VALUE!</v>
      </c>
      <c r="AH72" t="str">
        <f t="shared" si="26"/>
        <v>1+13.82300766i</v>
      </c>
      <c r="AI72" s="299" t="e">
        <f t="shared" si="27"/>
        <v>#VALUE!</v>
      </c>
      <c r="AK72" t="e">
        <f t="shared" si="28"/>
        <v>#VALUE!</v>
      </c>
      <c r="AM72" t="e">
        <f t="shared" si="29"/>
        <v>#VALUE!</v>
      </c>
      <c r="AN72" t="e">
        <f t="shared" si="47"/>
        <v>#VALUE!</v>
      </c>
    </row>
    <row r="73" spans="1:40" x14ac:dyDescent="0.25">
      <c r="A73" s="335">
        <v>120000</v>
      </c>
      <c r="B73" s="352">
        <f t="shared" si="17"/>
        <v>120</v>
      </c>
      <c r="C73" t="str">
        <f t="shared" si="30"/>
        <v>753982.236i</v>
      </c>
      <c r="D73" s="30" t="str">
        <f t="shared" si="31"/>
        <v>-568489212203.56</v>
      </c>
      <c r="E73" s="30" t="str">
        <f t="shared" si="32"/>
        <v>-428630767359118000i</v>
      </c>
      <c r="G73" s="30" t="e">
        <f t="shared" si="33"/>
        <v>#VALUE!</v>
      </c>
      <c r="I73" s="30" t="e">
        <f t="shared" si="34"/>
        <v>#REF!</v>
      </c>
      <c r="J73" t="e">
        <f t="shared" si="18"/>
        <v>#REF!</v>
      </c>
      <c r="L73" s="30" t="e">
        <f t="shared" si="35"/>
        <v>#VALUE!</v>
      </c>
      <c r="M73" t="e">
        <f t="shared" si="36"/>
        <v>#VALUE!</v>
      </c>
      <c r="N73" t="e">
        <f t="shared" si="51"/>
        <v>#REF!</v>
      </c>
      <c r="O73" s="299" t="e">
        <f t="shared" si="52"/>
        <v>#VALUE!</v>
      </c>
      <c r="P73" s="651">
        <v>2</v>
      </c>
      <c r="Q73" s="397" t="str">
        <f t="shared" si="37"/>
        <v>1+0.2638937826i</v>
      </c>
      <c r="R73" s="397" t="str">
        <f t="shared" si="38"/>
        <v>-0.0479466376367909i</v>
      </c>
      <c r="S73" s="397" t="str">
        <f t="shared" si="39"/>
        <v>-0.568261816518679</v>
      </c>
      <c r="T73" s="397" t="str">
        <f t="shared" si="53"/>
        <v>0.431738183481321+0.215947144963209i</v>
      </c>
      <c r="U73" s="652">
        <v>1</v>
      </c>
      <c r="V73">
        <f t="shared" si="40"/>
        <v>1</v>
      </c>
      <c r="W73">
        <f t="shared" si="23"/>
        <v>0</v>
      </c>
      <c r="X73">
        <f t="shared" si="41"/>
        <v>0</v>
      </c>
      <c r="Z73" t="str">
        <f t="shared" si="42"/>
        <v>2.09725415352119-0.43777055480966i</v>
      </c>
      <c r="AA73">
        <f t="shared" si="24"/>
        <v>6.6182385434260986</v>
      </c>
      <c r="AB73">
        <f t="shared" si="43"/>
        <v>-11.79034914070173</v>
      </c>
      <c r="AD73" s="30" t="str">
        <f t="shared" si="44"/>
        <v>15.07964472i</v>
      </c>
      <c r="AE73" s="30" t="str">
        <f t="shared" si="25"/>
        <v>1+15.07964472i</v>
      </c>
      <c r="AF73" s="30" t="e">
        <f t="shared" si="45"/>
        <v>#VALUE!</v>
      </c>
      <c r="AG73" t="e">
        <f t="shared" si="46"/>
        <v>#VALUE!</v>
      </c>
      <c r="AH73" t="str">
        <f t="shared" si="26"/>
        <v>1+15.07964472i</v>
      </c>
      <c r="AI73" s="299" t="e">
        <f t="shared" si="27"/>
        <v>#VALUE!</v>
      </c>
      <c r="AK73" t="e">
        <f t="shared" si="28"/>
        <v>#VALUE!</v>
      </c>
      <c r="AM73" t="e">
        <f t="shared" si="29"/>
        <v>#VALUE!</v>
      </c>
      <c r="AN73" t="e">
        <f t="shared" si="47"/>
        <v>#VALUE!</v>
      </c>
    </row>
    <row r="74" spans="1:40" x14ac:dyDescent="0.25">
      <c r="A74" s="335">
        <v>130000</v>
      </c>
      <c r="B74" s="352">
        <f t="shared" si="17"/>
        <v>130</v>
      </c>
      <c r="C74" t="str">
        <f t="shared" si="30"/>
        <v>816814.089i</v>
      </c>
      <c r="D74" s="30" t="str">
        <f t="shared" si="31"/>
        <v>-667185255988.9</v>
      </c>
      <c r="E74" s="30" t="str">
        <f t="shared" si="32"/>
        <v>-544966317064805000i</v>
      </c>
      <c r="G74" s="30" t="e">
        <f t="shared" si="33"/>
        <v>#VALUE!</v>
      </c>
      <c r="I74" s="30" t="e">
        <f t="shared" si="34"/>
        <v>#REF!</v>
      </c>
      <c r="J74" t="e">
        <f t="shared" si="18"/>
        <v>#REF!</v>
      </c>
      <c r="L74" s="30" t="e">
        <f t="shared" si="35"/>
        <v>#VALUE!</v>
      </c>
      <c r="M74" t="e">
        <f t="shared" si="36"/>
        <v>#VALUE!</v>
      </c>
      <c r="N74" t="e">
        <f t="shared" si="51"/>
        <v>#REF!</v>
      </c>
      <c r="O74" s="299" t="e">
        <f t="shared" si="52"/>
        <v>#VALUE!</v>
      </c>
      <c r="P74" s="651">
        <v>3</v>
      </c>
      <c r="Q74" s="397" t="str">
        <f t="shared" si="37"/>
        <v>1+0.28588493115i</v>
      </c>
      <c r="R74" s="397" t="str">
        <f t="shared" si="38"/>
        <v>-0.0609599322268691i</v>
      </c>
      <c r="S74" s="397" t="str">
        <f t="shared" si="39"/>
        <v>-0.666918381886505</v>
      </c>
      <c r="T74" s="397" t="str">
        <f t="shared" si="53"/>
        <v>0.333081618113495+0.224924998923131i</v>
      </c>
      <c r="U74" s="652">
        <v>1</v>
      </c>
      <c r="V74">
        <f t="shared" si="40"/>
        <v>1</v>
      </c>
      <c r="W74">
        <f t="shared" si="23"/>
        <v>0</v>
      </c>
      <c r="X74">
        <f t="shared" si="41"/>
        <v>0</v>
      </c>
      <c r="Z74" t="str">
        <f t="shared" si="42"/>
        <v>2.4600564712321-0.802936137717432i</v>
      </c>
      <c r="AA74">
        <f t="shared" si="24"/>
        <v>8.2585333921617039</v>
      </c>
      <c r="AB74">
        <f t="shared" si="43"/>
        <v>-18.076129196132914</v>
      </c>
      <c r="AD74" s="30" t="str">
        <f t="shared" si="44"/>
        <v>16.33628178i</v>
      </c>
      <c r="AE74" s="30" t="str">
        <f t="shared" si="25"/>
        <v>1+16.33628178i</v>
      </c>
      <c r="AF74" s="30" t="e">
        <f t="shared" si="45"/>
        <v>#VALUE!</v>
      </c>
      <c r="AG74" t="e">
        <f t="shared" si="46"/>
        <v>#VALUE!</v>
      </c>
      <c r="AH74" t="str">
        <f t="shared" si="26"/>
        <v>1+16.33628178i</v>
      </c>
      <c r="AI74" s="299" t="e">
        <f t="shared" si="27"/>
        <v>#VALUE!</v>
      </c>
      <c r="AK74" t="e">
        <f t="shared" si="28"/>
        <v>#VALUE!</v>
      </c>
      <c r="AM74" t="e">
        <f t="shared" si="29"/>
        <v>#VALUE!</v>
      </c>
      <c r="AN74" t="e">
        <f t="shared" si="47"/>
        <v>#VALUE!</v>
      </c>
    </row>
    <row r="75" spans="1:40" x14ac:dyDescent="0.25">
      <c r="A75" s="335">
        <v>150000</v>
      </c>
      <c r="B75" s="352">
        <f t="shared" si="17"/>
        <v>150</v>
      </c>
      <c r="C75" t="str">
        <f t="shared" si="30"/>
        <v>942477.795i</v>
      </c>
      <c r="D75" s="30" t="str">
        <f t="shared" si="31"/>
        <v>-888264394068.062</v>
      </c>
      <c r="E75" s="30" t="str">
        <f t="shared" si="32"/>
        <v>-837169467498278000i</v>
      </c>
      <c r="G75" s="30" t="e">
        <f t="shared" si="33"/>
        <v>#VALUE!</v>
      </c>
      <c r="I75" s="30" t="e">
        <f t="shared" si="34"/>
        <v>#REF!</v>
      </c>
      <c r="J75" t="e">
        <f t="shared" si="18"/>
        <v>#REF!</v>
      </c>
      <c r="L75" s="30" t="e">
        <f t="shared" si="35"/>
        <v>#VALUE!</v>
      </c>
      <c r="M75" t="e">
        <f t="shared" si="36"/>
        <v>#VALUE!</v>
      </c>
      <c r="N75" t="e">
        <f t="shared" si="51"/>
        <v>#REF!</v>
      </c>
      <c r="O75" s="299" t="e">
        <f t="shared" si="52"/>
        <v>#VALUE!</v>
      </c>
      <c r="P75" s="651">
        <v>4</v>
      </c>
      <c r="Q75" s="397" t="str">
        <f t="shared" si="37"/>
        <v>1+0.32986722825i</v>
      </c>
      <c r="R75" s="397" t="str">
        <f t="shared" si="38"/>
        <v>-0.0936457766343574i</v>
      </c>
      <c r="S75" s="397" t="str">
        <f t="shared" si="39"/>
        <v>-0.887909088310435</v>
      </c>
      <c r="T75" s="397" t="str">
        <f t="shared" si="53"/>
        <v>0.112090911689565+0.236221451615643i</v>
      </c>
      <c r="U75" s="652">
        <v>1</v>
      </c>
      <c r="V75">
        <f t="shared" si="40"/>
        <v>1</v>
      </c>
      <c r="W75">
        <f t="shared" si="23"/>
        <v>0</v>
      </c>
      <c r="X75">
        <f t="shared" si="41"/>
        <v>0</v>
      </c>
      <c r="Z75" t="str">
        <f t="shared" si="42"/>
        <v>2.77938675294686-2.91445167327342i</v>
      </c>
      <c r="AA75">
        <f t="shared" si="24"/>
        <v>12.100245900170394</v>
      </c>
      <c r="AB75">
        <f t="shared" si="43"/>
        <v>-46.358872275853109</v>
      </c>
      <c r="AD75" s="30" t="str">
        <f t="shared" si="44"/>
        <v>18.8495559i</v>
      </c>
      <c r="AE75" s="30" t="str">
        <f t="shared" si="25"/>
        <v>1+18.8495559i</v>
      </c>
      <c r="AF75" s="30" t="e">
        <f t="shared" si="45"/>
        <v>#VALUE!</v>
      </c>
      <c r="AG75" t="e">
        <f t="shared" si="46"/>
        <v>#VALUE!</v>
      </c>
      <c r="AH75" t="str">
        <f t="shared" si="26"/>
        <v>1+18.8495559i</v>
      </c>
      <c r="AI75" s="299" t="e">
        <f t="shared" si="27"/>
        <v>#VALUE!</v>
      </c>
      <c r="AK75" t="e">
        <f t="shared" si="28"/>
        <v>#VALUE!</v>
      </c>
      <c r="AM75" t="e">
        <f t="shared" si="29"/>
        <v>#VALUE!</v>
      </c>
      <c r="AN75" t="e">
        <f t="shared" si="47"/>
        <v>#VALUE!</v>
      </c>
    </row>
    <row r="76" spans="1:40" x14ac:dyDescent="0.25">
      <c r="A76" s="335">
        <v>160000</v>
      </c>
      <c r="B76" s="352">
        <f t="shared" si="17"/>
        <v>160</v>
      </c>
      <c r="C76" t="str">
        <f t="shared" si="30"/>
        <v>1005309.648i</v>
      </c>
      <c r="D76" s="30" t="str">
        <f t="shared" si="31"/>
        <v>-1010647488361.88</v>
      </c>
      <c r="E76" s="30" t="str">
        <f t="shared" si="32"/>
        <v>-1016013670777170000i</v>
      </c>
      <c r="G76" s="30" t="e">
        <f t="shared" si="33"/>
        <v>#VALUE!</v>
      </c>
      <c r="I76" s="30" t="e">
        <f t="shared" si="34"/>
        <v>#REF!</v>
      </c>
      <c r="J76" t="e">
        <f t="shared" si="18"/>
        <v>#REF!</v>
      </c>
      <c r="L76" s="30" t="e">
        <f t="shared" si="35"/>
        <v>#VALUE!</v>
      </c>
      <c r="M76" t="e">
        <f t="shared" si="36"/>
        <v>#VALUE!</v>
      </c>
      <c r="N76" t="e">
        <f t="shared" si="51"/>
        <v>#REF!</v>
      </c>
      <c r="O76" s="299" t="e">
        <f t="shared" si="52"/>
        <v>#VALUE!</v>
      </c>
      <c r="P76" s="651">
        <v>5</v>
      </c>
      <c r="Q76" s="397" t="str">
        <f t="shared" si="37"/>
        <v>1+0.3518583768i</v>
      </c>
      <c r="R76" s="397" t="str">
        <f t="shared" si="38"/>
        <v>-0.113651289213134i</v>
      </c>
      <c r="S76" s="397" t="str">
        <f t="shared" si="39"/>
        <v>-1.01024322936654</v>
      </c>
      <c r="T76" s="397" t="str">
        <f t="shared" si="53"/>
        <v>-0.01024322936654+0.238207087586866i</v>
      </c>
      <c r="U76" s="652">
        <v>1</v>
      </c>
      <c r="V76">
        <f t="shared" si="40"/>
        <v>1</v>
      </c>
      <c r="W76">
        <f t="shared" si="23"/>
        <v>0</v>
      </c>
      <c r="X76">
        <f t="shared" si="41"/>
        <v>0</v>
      </c>
      <c r="Z76" t="str">
        <f t="shared" si="42"/>
        <v>1.29419724044521-4.25368014631354i</v>
      </c>
      <c r="AA76">
        <f t="shared" si="24"/>
        <v>12.959790177872241</v>
      </c>
      <c r="AB76">
        <f t="shared" si="43"/>
        <v>-73.077431398381563</v>
      </c>
      <c r="AD76" s="30" t="str">
        <f t="shared" si="44"/>
        <v>20.10619296i</v>
      </c>
      <c r="AE76" s="30" t="str">
        <f t="shared" si="25"/>
        <v>1+20.10619296i</v>
      </c>
      <c r="AF76" s="30" t="e">
        <f t="shared" si="45"/>
        <v>#VALUE!</v>
      </c>
      <c r="AG76" t="e">
        <f t="shared" si="46"/>
        <v>#VALUE!</v>
      </c>
      <c r="AH76" t="str">
        <f t="shared" si="26"/>
        <v>1+20.10619296i</v>
      </c>
      <c r="AI76" s="299" t="e">
        <f t="shared" si="27"/>
        <v>#VALUE!</v>
      </c>
      <c r="AK76" t="e">
        <f t="shared" si="28"/>
        <v>#VALUE!</v>
      </c>
      <c r="AM76" t="e">
        <f t="shared" si="29"/>
        <v>#VALUE!</v>
      </c>
      <c r="AN76" t="e">
        <f t="shared" si="47"/>
        <v>#VALUE!</v>
      </c>
    </row>
    <row r="77" spans="1:40" x14ac:dyDescent="0.25">
      <c r="A77" s="335">
        <v>175000</v>
      </c>
      <c r="B77" s="352">
        <f t="shared" si="17"/>
        <v>175</v>
      </c>
      <c r="C77" t="str">
        <f t="shared" ref="C77:C97" si="54">COMPLEX(0,2*Pi*A77)</f>
        <v>1099557.4275i</v>
      </c>
      <c r="D77" s="30" t="str">
        <f t="shared" ref="D77:D97" si="55">COMPLEX(-POWER(2*Pi*A77,2),0)</f>
        <v>-1209026536370.42</v>
      </c>
      <c r="E77" s="30" t="str">
        <f t="shared" ref="E77:E97" si="56">COMPLEX(0,-POWER(2*Pi*A77,3))</f>
        <v>-1329394108110690000i</v>
      </c>
      <c r="G77" s="30" t="e">
        <f t="shared" si="33"/>
        <v>#VALUE!</v>
      </c>
      <c r="I77" s="30" t="e">
        <f t="shared" ref="I77:I97" si="57">IMPRODUCT((RdampSel*CdampSel+RdampSel*CinjSel),C77)</f>
        <v>#REF!</v>
      </c>
      <c r="J77" t="e">
        <f t="shared" si="18"/>
        <v>#REF!</v>
      </c>
      <c r="L77" s="30" t="e">
        <f t="shared" ref="L77:L97" si="58">IMPRODUCT(G77,L_infilterStd*RdampSel*CinjSel*CdampSel,E77)</f>
        <v>#VALUE!</v>
      </c>
      <c r="M77" t="e">
        <f t="shared" ref="M77:M97" si="59">IMPRODUCT(G77,L_infilterStd*CinjSel,D77)</f>
        <v>#VALUE!</v>
      </c>
      <c r="N77" t="e">
        <f t="shared" si="51"/>
        <v>#REF!</v>
      </c>
      <c r="O77" s="299" t="e">
        <f t="shared" si="52"/>
        <v>#VALUE!</v>
      </c>
      <c r="P77" s="651">
        <v>6</v>
      </c>
      <c r="Q77" s="397" t="str">
        <f t="shared" ref="Q77:Q97" si="60">IMSUM(IMPRODUCT(C77,RdampPssv*CdampPssv),1)</f>
        <v>1+0.384845099625i</v>
      </c>
      <c r="R77" s="397" t="str">
        <f t="shared" ref="R77:R97" si="61">IMPRODUCT(RdampPssv*CdampPssv*CfilterPssv*LinfilterPssv,E77)</f>
        <v>-0.148706024933262i</v>
      </c>
      <c r="S77" s="397" t="str">
        <f t="shared" ref="S77:S97" si="62">IMPRODUCT(D77,LinfilterPssv*(CfilterPssv+CdampPssv))</f>
        <v>-1.20854292575587</v>
      </c>
      <c r="T77" s="397" t="str">
        <f t="shared" si="53"/>
        <v>-0.20854292575587+0.236139074691738i</v>
      </c>
      <c r="U77" s="652">
        <v>1</v>
      </c>
      <c r="V77">
        <f t="shared" si="40"/>
        <v>1</v>
      </c>
      <c r="W77">
        <f t="shared" si="23"/>
        <v>0</v>
      </c>
      <c r="X77">
        <f t="shared" si="41"/>
        <v>0</v>
      </c>
      <c r="Z77" t="str">
        <f t="shared" ref="Z77:Z97" si="63">IMDIV(Q77,T77)</f>
        <v>-1.18552956082797-3.18780870043445i</v>
      </c>
      <c r="AA77">
        <f t="shared" si="24"/>
        <v>10.632434371784214</v>
      </c>
      <c r="AB77">
        <f t="shared" ref="AB77:AB97" si="64">IMARGUMENT(Z77)*180/Pi</f>
        <v>-110.39990747553254</v>
      </c>
      <c r="AD77" s="30" t="str">
        <f t="shared" ref="AD77:AD97" si="65">IMPRODUCT((RdampCom*CdampCom+RdampCom*CinjCom),C77)</f>
        <v>21.99114855i</v>
      </c>
      <c r="AE77" s="30" t="str">
        <f t="shared" si="25"/>
        <v>1+21.99114855i</v>
      </c>
      <c r="AF77" s="30" t="e">
        <f t="shared" ref="AF77:AF97" si="66">IMPRODUCT(G77,L_infilterStd*RdampSel*CinjSel*CdampSel,E77)</f>
        <v>#VALUE!</v>
      </c>
      <c r="AG77" t="e">
        <f t="shared" ref="AG77:AG97" si="67">IMPRODUCT(G77,LAEFCom*CinjCom,D77)</f>
        <v>#VALUE!</v>
      </c>
      <c r="AH77" t="str">
        <f t="shared" si="26"/>
        <v>1+21.99114855i</v>
      </c>
      <c r="AI77" s="299" t="e">
        <f t="shared" si="27"/>
        <v>#VALUE!</v>
      </c>
      <c r="AK77" t="e">
        <f t="shared" si="28"/>
        <v>#VALUE!</v>
      </c>
      <c r="AM77" t="e">
        <f t="shared" si="29"/>
        <v>#VALUE!</v>
      </c>
      <c r="AN77" t="e">
        <f t="shared" ref="AN77:AN97" si="68">IMARGUMENT(AK77)*180/Pi</f>
        <v>#VALUE!</v>
      </c>
    </row>
    <row r="78" spans="1:40" x14ac:dyDescent="0.25">
      <c r="A78" s="335">
        <v>190000</v>
      </c>
      <c r="B78" s="352">
        <f t="shared" si="17"/>
        <v>190</v>
      </c>
      <c r="C78" t="str">
        <f t="shared" si="54"/>
        <v>1193805.207i</v>
      </c>
      <c r="D78" s="30" t="str">
        <f t="shared" si="55"/>
        <v>-1425170872260.31</v>
      </c>
      <c r="E78" s="30" t="str">
        <f t="shared" si="56"/>
        <v>-1701376408169090000i</v>
      </c>
      <c r="G78" s="30" t="e">
        <f t="shared" si="33"/>
        <v>#VALUE!</v>
      </c>
      <c r="I78" s="30" t="e">
        <f t="shared" si="57"/>
        <v>#REF!</v>
      </c>
      <c r="J78" t="e">
        <f t="shared" si="18"/>
        <v>#REF!</v>
      </c>
      <c r="L78" s="30" t="e">
        <f t="shared" si="58"/>
        <v>#VALUE!</v>
      </c>
      <c r="M78" t="e">
        <f t="shared" si="59"/>
        <v>#VALUE!</v>
      </c>
      <c r="N78" t="e">
        <f t="shared" si="51"/>
        <v>#REF!</v>
      </c>
      <c r="O78" s="299" t="e">
        <f t="shared" si="52"/>
        <v>#VALUE!</v>
      </c>
      <c r="P78" s="651">
        <v>7</v>
      </c>
      <c r="Q78" s="397" t="str">
        <f t="shared" si="60"/>
        <v>1+0.41783182245i</v>
      </c>
      <c r="R78" s="397" t="str">
        <f t="shared" si="61"/>
        <v>-0.190315965017794i</v>
      </c>
      <c r="S78" s="397" t="str">
        <f t="shared" si="62"/>
        <v>-1.42460080391141</v>
      </c>
      <c r="T78" s="397" t="str">
        <f t="shared" si="53"/>
        <v>-0.42460080391141+0.227515857432206i</v>
      </c>
      <c r="U78" s="652">
        <v>1</v>
      </c>
      <c r="V78">
        <f t="shared" si="40"/>
        <v>1</v>
      </c>
      <c r="W78">
        <f t="shared" si="23"/>
        <v>0</v>
      </c>
      <c r="X78">
        <f t="shared" si="41"/>
        <v>0</v>
      </c>
      <c r="Z78" t="str">
        <f t="shared" si="63"/>
        <v>-1.42011816933091-1.74500664759685i</v>
      </c>
      <c r="AA78">
        <f t="shared" ref="AA78:AA97" si="69">20*LOG10(IMABS(Z78))</f>
        <v>7.0430359282769261</v>
      </c>
      <c r="AB78">
        <f t="shared" si="64"/>
        <v>-129.13932379003126</v>
      </c>
      <c r="AD78" s="30" t="str">
        <f t="shared" si="65"/>
        <v>23.87610414i</v>
      </c>
      <c r="AE78" s="30" t="str">
        <f t="shared" ref="AE78:AE97" si="70">IMSUM(1,AD78)</f>
        <v>1+23.87610414i</v>
      </c>
      <c r="AF78" s="30" t="e">
        <f t="shared" si="66"/>
        <v>#VALUE!</v>
      </c>
      <c r="AG78" t="e">
        <f t="shared" si="67"/>
        <v>#VALUE!</v>
      </c>
      <c r="AH78" t="str">
        <f t="shared" ref="AH78:AH97" si="71">AE78</f>
        <v>1+23.87610414i</v>
      </c>
      <c r="AI78" s="299" t="e">
        <f t="shared" ref="AI78:AI97" si="72">IMSUM(AF78:AH78)</f>
        <v>#VALUE!</v>
      </c>
      <c r="AK78" t="e">
        <f t="shared" ref="AK78:AK97" si="73">IMDIV(AE78,AI78)</f>
        <v>#VALUE!</v>
      </c>
      <c r="AM78" t="e">
        <f t="shared" ref="AM78:AM97" si="74">20*LOG10(IMABS(AK78))</f>
        <v>#VALUE!</v>
      </c>
      <c r="AN78" t="e">
        <f t="shared" si="68"/>
        <v>#VALUE!</v>
      </c>
    </row>
    <row r="79" spans="1:40" x14ac:dyDescent="0.25">
      <c r="A79" s="653">
        <v>200000</v>
      </c>
      <c r="B79" s="352">
        <f t="shared" si="17"/>
        <v>200</v>
      </c>
      <c r="C79" t="str">
        <f t="shared" si="54"/>
        <v>1256637.06i</v>
      </c>
      <c r="D79" s="30" t="str">
        <f t="shared" si="55"/>
        <v>-1579136700565.44</v>
      </c>
      <c r="E79" s="30" t="str">
        <f t="shared" si="56"/>
        <v>-1984401700736660000i</v>
      </c>
      <c r="G79" s="30" t="e">
        <f t="shared" si="33"/>
        <v>#VALUE!</v>
      </c>
      <c r="I79" s="30" t="e">
        <f t="shared" si="57"/>
        <v>#REF!</v>
      </c>
      <c r="J79" t="e">
        <f t="shared" si="18"/>
        <v>#REF!</v>
      </c>
      <c r="L79" s="30" t="e">
        <f t="shared" si="58"/>
        <v>#VALUE!</v>
      </c>
      <c r="M79" t="e">
        <f t="shared" si="59"/>
        <v>#VALUE!</v>
      </c>
      <c r="N79" t="e">
        <f t="shared" si="19"/>
        <v>#REF!</v>
      </c>
      <c r="O79" s="299" t="e">
        <f t="shared" si="20"/>
        <v>#VALUE!</v>
      </c>
      <c r="P79" s="651">
        <v>0</v>
      </c>
      <c r="Q79" s="397" t="str">
        <f t="shared" si="60"/>
        <v>1+0.439822971i</v>
      </c>
      <c r="R79" s="397" t="str">
        <f t="shared" si="61"/>
        <v>-0.221975174244403i</v>
      </c>
      <c r="S79" s="397" t="str">
        <f t="shared" si="62"/>
        <v>-1.57850504588521</v>
      </c>
      <c r="T79" s="397" t="str">
        <f t="shared" si="21"/>
        <v>-0.57850504588521+0.217847796755597i</v>
      </c>
      <c r="U79" s="652">
        <v>1</v>
      </c>
      <c r="V79">
        <f t="shared" si="40"/>
        <v>1</v>
      </c>
      <c r="W79">
        <f t="shared" si="23"/>
        <v>0</v>
      </c>
      <c r="X79">
        <f t="shared" si="41"/>
        <v>0</v>
      </c>
      <c r="Z79" t="str">
        <f t="shared" si="63"/>
        <v>-1.26317208366406-1.23594812428182i</v>
      </c>
      <c r="AA79">
        <f t="shared" si="69"/>
        <v>4.9459582998103908</v>
      </c>
      <c r="AB79">
        <f t="shared" si="64"/>
        <v>-135.6241223057485</v>
      </c>
      <c r="AD79" s="30" t="str">
        <f t="shared" si="65"/>
        <v>25.1327412i</v>
      </c>
      <c r="AE79" s="30" t="str">
        <f t="shared" si="70"/>
        <v>1+25.1327412i</v>
      </c>
      <c r="AF79" s="30" t="e">
        <f t="shared" si="66"/>
        <v>#VALUE!</v>
      </c>
      <c r="AG79" t="e">
        <f t="shared" si="67"/>
        <v>#VALUE!</v>
      </c>
      <c r="AH79" t="str">
        <f t="shared" si="71"/>
        <v>1+25.1327412i</v>
      </c>
      <c r="AI79" s="299" t="e">
        <f t="shared" si="72"/>
        <v>#VALUE!</v>
      </c>
      <c r="AK79" t="e">
        <f t="shared" si="73"/>
        <v>#VALUE!</v>
      </c>
      <c r="AM79" t="e">
        <f t="shared" si="74"/>
        <v>#VALUE!</v>
      </c>
      <c r="AN79" t="e">
        <f t="shared" si="68"/>
        <v>#VALUE!</v>
      </c>
    </row>
    <row r="80" spans="1:40" x14ac:dyDescent="0.25">
      <c r="A80" s="335">
        <v>300000</v>
      </c>
      <c r="B80" s="352">
        <f t="shared" si="17"/>
        <v>300</v>
      </c>
      <c r="C80" t="str">
        <f t="shared" si="54"/>
        <v>1884955.59i</v>
      </c>
      <c r="D80" s="30" t="str">
        <f t="shared" si="55"/>
        <v>-3553057576272.25</v>
      </c>
      <c r="E80" s="30" t="str">
        <f t="shared" si="56"/>
        <v>-6697355739986230000i</v>
      </c>
      <c r="G80" s="30" t="e">
        <f t="shared" si="33"/>
        <v>#VALUE!</v>
      </c>
      <c r="I80" s="30" t="e">
        <f t="shared" si="57"/>
        <v>#REF!</v>
      </c>
      <c r="J80" t="e">
        <f t="shared" si="18"/>
        <v>#REF!</v>
      </c>
      <c r="L80" s="30" t="e">
        <f t="shared" si="58"/>
        <v>#VALUE!</v>
      </c>
      <c r="M80" t="e">
        <f t="shared" si="59"/>
        <v>#VALUE!</v>
      </c>
      <c r="N80" t="e">
        <f t="shared" si="19"/>
        <v>#REF!</v>
      </c>
      <c r="O80" s="299" t="e">
        <f t="shared" si="20"/>
        <v>#VALUE!</v>
      </c>
      <c r="P80" s="651">
        <v>0</v>
      </c>
      <c r="Q80" s="397" t="str">
        <f t="shared" si="60"/>
        <v>1+0.6597344565i</v>
      </c>
      <c r="R80" s="397" t="str">
        <f t="shared" si="61"/>
        <v>-0.74916621307486i</v>
      </c>
      <c r="S80" s="397" t="str">
        <f t="shared" si="62"/>
        <v>-3.55163635324174</v>
      </c>
      <c r="T80" s="397" t="str">
        <f t="shared" si="21"/>
        <v>-2.55163635324174-0.08943175657486i</v>
      </c>
      <c r="U80" s="652">
        <v>1</v>
      </c>
      <c r="V80">
        <f t="shared" si="40"/>
        <v>1</v>
      </c>
      <c r="W80">
        <f t="shared" si="23"/>
        <v>0</v>
      </c>
      <c r="X80">
        <f t="shared" si="41"/>
        <v>0</v>
      </c>
      <c r="Z80" t="str">
        <f t="shared" si="63"/>
        <v>-0.400475408867723-0.244517302172491i</v>
      </c>
      <c r="AA80">
        <f t="shared" si="69"/>
        <v>-6.5724330903943216</v>
      </c>
      <c r="AB80">
        <f t="shared" si="64"/>
        <v>-148.59311414511541</v>
      </c>
      <c r="AD80" s="30" t="str">
        <f t="shared" si="65"/>
        <v>37.6991118i</v>
      </c>
      <c r="AE80" s="30" t="str">
        <f t="shared" si="70"/>
        <v>1+37.6991118i</v>
      </c>
      <c r="AF80" s="30" t="e">
        <f t="shared" si="66"/>
        <v>#VALUE!</v>
      </c>
      <c r="AG80" t="e">
        <f t="shared" si="67"/>
        <v>#VALUE!</v>
      </c>
      <c r="AH80" t="str">
        <f t="shared" si="71"/>
        <v>1+37.6991118i</v>
      </c>
      <c r="AI80" s="299" t="e">
        <f t="shared" si="72"/>
        <v>#VALUE!</v>
      </c>
      <c r="AK80" t="e">
        <f t="shared" si="73"/>
        <v>#VALUE!</v>
      </c>
      <c r="AM80" t="e">
        <f t="shared" si="74"/>
        <v>#VALUE!</v>
      </c>
      <c r="AN80" t="e">
        <f t="shared" si="68"/>
        <v>#VALUE!</v>
      </c>
    </row>
    <row r="81" spans="1:40" x14ac:dyDescent="0.25">
      <c r="A81" s="653">
        <v>400000</v>
      </c>
      <c r="B81" s="352">
        <f t="shared" si="17"/>
        <v>400</v>
      </c>
      <c r="C81" t="str">
        <f t="shared" si="54"/>
        <v>2513274.12i</v>
      </c>
      <c r="D81" s="30" t="str">
        <f t="shared" si="55"/>
        <v>-6316546802261.78</v>
      </c>
      <c r="E81" s="30" t="str">
        <f t="shared" si="56"/>
        <v>-15875213605893300000i</v>
      </c>
      <c r="G81" s="30" t="e">
        <f t="shared" si="33"/>
        <v>#VALUE!</v>
      </c>
      <c r="I81" s="30" t="e">
        <f t="shared" si="57"/>
        <v>#REF!</v>
      </c>
      <c r="J81" t="e">
        <f t="shared" si="18"/>
        <v>#REF!</v>
      </c>
      <c r="L81" s="30" t="e">
        <f t="shared" si="58"/>
        <v>#VALUE!</v>
      </c>
      <c r="M81" t="e">
        <f t="shared" si="59"/>
        <v>#VALUE!</v>
      </c>
      <c r="N81" t="e">
        <f t="shared" si="19"/>
        <v>#REF!</v>
      </c>
      <c r="O81" s="299" t="e">
        <f t="shared" si="20"/>
        <v>#VALUE!</v>
      </c>
      <c r="P81" s="651">
        <v>0</v>
      </c>
      <c r="Q81" s="397" t="str">
        <f t="shared" si="60"/>
        <v>1+0.879645942i</v>
      </c>
      <c r="R81" s="397" t="str">
        <f t="shared" si="61"/>
        <v>-1.77580139395522i</v>
      </c>
      <c r="S81" s="397" t="str">
        <f t="shared" si="62"/>
        <v>-6.31402018354088</v>
      </c>
      <c r="T81" s="397" t="str">
        <f t="shared" si="21"/>
        <v>-5.31402018354088-0.89615545195522i</v>
      </c>
      <c r="U81" s="652">
        <v>1</v>
      </c>
      <c r="V81">
        <f t="shared" si="40"/>
        <v>1</v>
      </c>
      <c r="W81">
        <f t="shared" si="23"/>
        <v>0</v>
      </c>
      <c r="X81">
        <f t="shared" si="41"/>
        <v>0</v>
      </c>
      <c r="Z81" t="str">
        <f t="shared" si="63"/>
        <v>-0.210121191022436-0.130098243366712i</v>
      </c>
      <c r="AA81">
        <f t="shared" si="69"/>
        <v>-12.141260868793136</v>
      </c>
      <c r="AB81">
        <f t="shared" si="64"/>
        <v>-148.23594278994108</v>
      </c>
      <c r="AD81" s="30" t="str">
        <f t="shared" si="65"/>
        <v>50.2654824i</v>
      </c>
      <c r="AE81" s="30" t="str">
        <f t="shared" si="70"/>
        <v>1+50.2654824i</v>
      </c>
      <c r="AF81" s="30" t="e">
        <f t="shared" si="66"/>
        <v>#VALUE!</v>
      </c>
      <c r="AG81" t="e">
        <f t="shared" si="67"/>
        <v>#VALUE!</v>
      </c>
      <c r="AH81" t="str">
        <f t="shared" si="71"/>
        <v>1+50.2654824i</v>
      </c>
      <c r="AI81" s="299" t="e">
        <f t="shared" si="72"/>
        <v>#VALUE!</v>
      </c>
      <c r="AK81" t="e">
        <f t="shared" si="73"/>
        <v>#VALUE!</v>
      </c>
      <c r="AM81" t="e">
        <f t="shared" si="74"/>
        <v>#VALUE!</v>
      </c>
      <c r="AN81" t="e">
        <f t="shared" si="68"/>
        <v>#VALUE!</v>
      </c>
    </row>
    <row r="82" spans="1:40" x14ac:dyDescent="0.25">
      <c r="A82" s="335">
        <v>500000</v>
      </c>
      <c r="B82" s="352">
        <f t="shared" si="17"/>
        <v>500</v>
      </c>
      <c r="C82" t="str">
        <f t="shared" si="54"/>
        <v>3141592.65i</v>
      </c>
      <c r="D82" s="30" t="str">
        <f t="shared" si="55"/>
        <v>-9869604378534.03</v>
      </c>
      <c r="E82" s="30" t="str">
        <f t="shared" si="56"/>
        <v>-31006276574010300000i</v>
      </c>
      <c r="G82" s="30" t="e">
        <f t="shared" si="33"/>
        <v>#VALUE!</v>
      </c>
      <c r="I82" s="30" t="e">
        <f t="shared" si="57"/>
        <v>#REF!</v>
      </c>
      <c r="J82" t="e">
        <f t="shared" si="18"/>
        <v>#REF!</v>
      </c>
      <c r="L82" s="30" t="e">
        <f t="shared" si="58"/>
        <v>#VALUE!</v>
      </c>
      <c r="M82" t="e">
        <f t="shared" si="59"/>
        <v>#VALUE!</v>
      </c>
      <c r="N82" t="e">
        <f t="shared" si="19"/>
        <v>#REF!</v>
      </c>
      <c r="O82" s="299" t="e">
        <f t="shared" si="20"/>
        <v>#VALUE!</v>
      </c>
      <c r="P82" s="651">
        <v>0</v>
      </c>
      <c r="Q82" s="397" t="str">
        <f t="shared" si="60"/>
        <v>1+1.0995574275i</v>
      </c>
      <c r="R82" s="397" t="str">
        <f t="shared" si="61"/>
        <v>-3.46836209756879i</v>
      </c>
      <c r="S82" s="397" t="str">
        <f t="shared" si="62"/>
        <v>-9.86565653678262</v>
      </c>
      <c r="T82" s="397" t="str">
        <f t="shared" si="21"/>
        <v>-8.86565653678262-2.36880467006879i</v>
      </c>
      <c r="U82" s="652">
        <v>1</v>
      </c>
      <c r="V82">
        <f t="shared" si="40"/>
        <v>1</v>
      </c>
      <c r="W82">
        <f t="shared" si="23"/>
        <v>0</v>
      </c>
      <c r="X82">
        <f t="shared" si="41"/>
        <v>0</v>
      </c>
      <c r="Z82" t="str">
        <f t="shared" si="63"/>
        <v>-0.136208802833546-0.0876308907321328i</v>
      </c>
      <c r="AA82">
        <f t="shared" si="69"/>
        <v>-15.811684145573038</v>
      </c>
      <c r="AB82">
        <f t="shared" si="64"/>
        <v>-147.2445124058745</v>
      </c>
      <c r="AD82" s="30" t="str">
        <f t="shared" si="65"/>
        <v>62.831853i</v>
      </c>
      <c r="AE82" s="30" t="str">
        <f t="shared" si="70"/>
        <v>1+62.831853i</v>
      </c>
      <c r="AF82" s="30" t="e">
        <f t="shared" si="66"/>
        <v>#VALUE!</v>
      </c>
      <c r="AG82" t="e">
        <f t="shared" si="67"/>
        <v>#VALUE!</v>
      </c>
      <c r="AH82" t="str">
        <f t="shared" si="71"/>
        <v>1+62.831853i</v>
      </c>
      <c r="AI82" s="299" t="e">
        <f t="shared" si="72"/>
        <v>#VALUE!</v>
      </c>
      <c r="AK82" t="e">
        <f t="shared" si="73"/>
        <v>#VALUE!</v>
      </c>
      <c r="AM82" t="e">
        <f t="shared" si="74"/>
        <v>#VALUE!</v>
      </c>
      <c r="AN82" t="e">
        <f t="shared" si="68"/>
        <v>#VALUE!</v>
      </c>
    </row>
    <row r="83" spans="1:40" x14ac:dyDescent="0.25">
      <c r="A83" s="653">
        <v>600000</v>
      </c>
      <c r="B83" s="352">
        <f t="shared" si="17"/>
        <v>600</v>
      </c>
      <c r="C83" t="str">
        <f t="shared" si="54"/>
        <v>3769911.18i</v>
      </c>
      <c r="D83" s="30" t="str">
        <f t="shared" si="55"/>
        <v>-14212230305089</v>
      </c>
      <c r="E83" s="30" t="str">
        <f t="shared" si="56"/>
        <v>-53578845919889800000i</v>
      </c>
      <c r="G83" s="30" t="e">
        <f t="shared" ref="G83:G97" si="75">IMSUM(IMPRODUCT(C83,Rcomp_AEF*Csen_AEF),Csen_AEF/Ccomp_AEF)</f>
        <v>#VALUE!</v>
      </c>
      <c r="I83" s="30" t="e">
        <f t="shared" si="57"/>
        <v>#REF!</v>
      </c>
      <c r="J83" t="e">
        <f t="shared" si="18"/>
        <v>#REF!</v>
      </c>
      <c r="L83" s="30" t="e">
        <f t="shared" si="58"/>
        <v>#VALUE!</v>
      </c>
      <c r="M83" t="e">
        <f t="shared" si="59"/>
        <v>#VALUE!</v>
      </c>
      <c r="N83" t="e">
        <f t="shared" si="19"/>
        <v>#REF!</v>
      </c>
      <c r="O83" s="299" t="e">
        <f t="shared" si="20"/>
        <v>#VALUE!</v>
      </c>
      <c r="P83" s="651">
        <v>0</v>
      </c>
      <c r="Q83" s="397" t="str">
        <f t="shared" si="60"/>
        <v>1+1.319468913i</v>
      </c>
      <c r="R83" s="397" t="str">
        <f t="shared" si="61"/>
        <v>-5.99332970459887i</v>
      </c>
      <c r="S83" s="397" t="str">
        <f t="shared" si="62"/>
        <v>-14.206545412967</v>
      </c>
      <c r="T83" s="397" t="str">
        <f t="shared" si="21"/>
        <v>-13.206545412967-4.67386079159887i</v>
      </c>
      <c r="U83" s="652">
        <v>1</v>
      </c>
      <c r="V83">
        <f t="shared" ref="V83:V97" si="76">CHOOSE(INFILTER_TYPE,U83,IMDIV(J83,O83),IMDIV(Q83,T83))</f>
        <v>1</v>
      </c>
      <c r="W83">
        <f t="shared" si="23"/>
        <v>0</v>
      </c>
      <c r="X83">
        <f t="shared" ref="X83:X97" si="77">IMARGUMENT(V83)*180/Pi</f>
        <v>0</v>
      </c>
      <c r="Z83" t="str">
        <f t="shared" si="63"/>
        <v>-0.0987148424567274-0.0649745603002369i</v>
      </c>
      <c r="AA83">
        <f t="shared" si="69"/>
        <v>-18.549182102928064</v>
      </c>
      <c r="AB83">
        <f t="shared" si="64"/>
        <v>-146.64690503853296</v>
      </c>
      <c r="AD83" s="30" t="str">
        <f t="shared" si="65"/>
        <v>75.3982236i</v>
      </c>
      <c r="AE83" s="30" t="str">
        <f t="shared" si="70"/>
        <v>1+75.3982236i</v>
      </c>
      <c r="AF83" s="30" t="e">
        <f t="shared" si="66"/>
        <v>#VALUE!</v>
      </c>
      <c r="AG83" t="e">
        <f t="shared" si="67"/>
        <v>#VALUE!</v>
      </c>
      <c r="AH83" t="str">
        <f t="shared" si="71"/>
        <v>1+75.3982236i</v>
      </c>
      <c r="AI83" s="299" t="e">
        <f t="shared" si="72"/>
        <v>#VALUE!</v>
      </c>
      <c r="AK83" t="e">
        <f t="shared" si="73"/>
        <v>#VALUE!</v>
      </c>
      <c r="AM83" t="e">
        <f t="shared" si="74"/>
        <v>#VALUE!</v>
      </c>
      <c r="AN83" t="e">
        <f t="shared" si="68"/>
        <v>#VALUE!</v>
      </c>
    </row>
    <row r="84" spans="1:40" x14ac:dyDescent="0.25">
      <c r="A84" s="335">
        <v>700000</v>
      </c>
      <c r="B84" s="352">
        <f t="shared" si="17"/>
        <v>700</v>
      </c>
      <c r="C84" t="str">
        <f t="shared" si="54"/>
        <v>4398229.71i</v>
      </c>
      <c r="D84" s="30" t="str">
        <f t="shared" si="55"/>
        <v>-19344424581926.7</v>
      </c>
      <c r="E84" s="30" t="str">
        <f t="shared" si="56"/>
        <v>-85081222919084300000i</v>
      </c>
      <c r="G84" s="30" t="e">
        <f t="shared" si="75"/>
        <v>#VALUE!</v>
      </c>
      <c r="I84" s="30" t="e">
        <f t="shared" si="57"/>
        <v>#REF!</v>
      </c>
      <c r="J84" t="e">
        <f t="shared" si="18"/>
        <v>#REF!</v>
      </c>
      <c r="L84" s="30" t="e">
        <f t="shared" si="58"/>
        <v>#VALUE!</v>
      </c>
      <c r="M84" t="e">
        <f t="shared" si="59"/>
        <v>#VALUE!</v>
      </c>
      <c r="N84" t="e">
        <f t="shared" si="19"/>
        <v>#REF!</v>
      </c>
      <c r="O84" s="299" t="e">
        <f t="shared" si="20"/>
        <v>#VALUE!</v>
      </c>
      <c r="P84" s="651">
        <v>0</v>
      </c>
      <c r="Q84" s="397" t="str">
        <f t="shared" si="60"/>
        <v>1+1.5393803985i</v>
      </c>
      <c r="R84" s="397" t="str">
        <f t="shared" si="61"/>
        <v>-9.51718559572877i</v>
      </c>
      <c r="S84" s="397" t="str">
        <f t="shared" si="62"/>
        <v>-19.3366868120939</v>
      </c>
      <c r="T84" s="397" t="str">
        <f t="shared" si="21"/>
        <v>-18.3366868120939-7.97780519722877i</v>
      </c>
      <c r="U84" s="652">
        <v>1</v>
      </c>
      <c r="V84">
        <f t="shared" si="76"/>
        <v>1</v>
      </c>
      <c r="W84">
        <f t="shared" si="23"/>
        <v>0</v>
      </c>
      <c r="X84">
        <f t="shared" si="77"/>
        <v>0</v>
      </c>
      <c r="Z84" t="str">
        <f t="shared" si="63"/>
        <v>-0.0765669830392885-0.050638587700621i</v>
      </c>
      <c r="AA84">
        <f t="shared" si="69"/>
        <v>-20.743388875708668</v>
      </c>
      <c r="AB84">
        <f t="shared" si="64"/>
        <v>-146.52081538204177</v>
      </c>
      <c r="AD84" s="30" t="str">
        <f t="shared" si="65"/>
        <v>87.9645942i</v>
      </c>
      <c r="AE84" s="30" t="str">
        <f t="shared" si="70"/>
        <v>1+87.9645942i</v>
      </c>
      <c r="AF84" s="30" t="e">
        <f t="shared" si="66"/>
        <v>#VALUE!</v>
      </c>
      <c r="AG84" t="e">
        <f t="shared" si="67"/>
        <v>#VALUE!</v>
      </c>
      <c r="AH84" t="str">
        <f t="shared" si="71"/>
        <v>1+87.9645942i</v>
      </c>
      <c r="AI84" s="299" t="e">
        <f t="shared" si="72"/>
        <v>#VALUE!</v>
      </c>
      <c r="AK84" t="e">
        <f t="shared" si="73"/>
        <v>#VALUE!</v>
      </c>
      <c r="AM84" t="e">
        <f t="shared" si="74"/>
        <v>#VALUE!</v>
      </c>
      <c r="AN84" t="e">
        <f t="shared" si="68"/>
        <v>#VALUE!</v>
      </c>
    </row>
    <row r="85" spans="1:40" x14ac:dyDescent="0.25">
      <c r="A85" s="653">
        <v>800000</v>
      </c>
      <c r="B85" s="352">
        <f t="shared" si="17"/>
        <v>800</v>
      </c>
      <c r="C85" t="str">
        <f t="shared" si="54"/>
        <v>5026548.24i</v>
      </c>
      <c r="D85" s="30" t="str">
        <f t="shared" si="55"/>
        <v>-25266187209047.1</v>
      </c>
      <c r="E85" s="30" t="str">
        <f t="shared" si="56"/>
        <v>-127001708847146000000i</v>
      </c>
      <c r="G85" s="30" t="e">
        <f t="shared" si="75"/>
        <v>#VALUE!</v>
      </c>
      <c r="I85" s="30" t="e">
        <f t="shared" si="57"/>
        <v>#REF!</v>
      </c>
      <c r="J85" t="e">
        <f t="shared" si="18"/>
        <v>#REF!</v>
      </c>
      <c r="L85" s="30" t="e">
        <f t="shared" si="58"/>
        <v>#VALUE!</v>
      </c>
      <c r="M85" t="e">
        <f t="shared" si="59"/>
        <v>#VALUE!</v>
      </c>
      <c r="N85" t="e">
        <f t="shared" si="19"/>
        <v>#REF!</v>
      </c>
      <c r="O85" s="299" t="e">
        <f t="shared" si="20"/>
        <v>#VALUE!</v>
      </c>
      <c r="P85" s="651">
        <v>0</v>
      </c>
      <c r="Q85" s="397" t="str">
        <f t="shared" si="60"/>
        <v>1+1.759291884i</v>
      </c>
      <c r="R85" s="397" t="str">
        <f t="shared" si="61"/>
        <v>-14.2064111516417i</v>
      </c>
      <c r="S85" s="397" t="str">
        <f t="shared" si="62"/>
        <v>-25.2560807341635</v>
      </c>
      <c r="T85" s="397" t="str">
        <f t="shared" si="21"/>
        <v>-24.2560807341635-12.4471192676417i</v>
      </c>
      <c r="U85" s="652">
        <v>1</v>
      </c>
      <c r="V85">
        <f t="shared" si="76"/>
        <v>1</v>
      </c>
      <c r="W85">
        <f t="shared" si="23"/>
        <v>0</v>
      </c>
      <c r="X85">
        <f t="shared" si="77"/>
        <v>0</v>
      </c>
      <c r="Z85" t="str">
        <f t="shared" si="63"/>
        <v>-0.0620946151681225-0.040665794855093i</v>
      </c>
      <c r="AA85">
        <f t="shared" si="69"/>
        <v>-22.588919033913939</v>
      </c>
      <c r="AB85">
        <f t="shared" si="64"/>
        <v>-146.77919071706401</v>
      </c>
      <c r="AD85" s="30" t="str">
        <f t="shared" si="65"/>
        <v>100.5309648i</v>
      </c>
      <c r="AE85" s="30" t="str">
        <f t="shared" si="70"/>
        <v>1+100.5309648i</v>
      </c>
      <c r="AF85" s="30" t="e">
        <f t="shared" si="66"/>
        <v>#VALUE!</v>
      </c>
      <c r="AG85" t="e">
        <f t="shared" si="67"/>
        <v>#VALUE!</v>
      </c>
      <c r="AH85" t="str">
        <f t="shared" si="71"/>
        <v>1+100.5309648i</v>
      </c>
      <c r="AI85" s="299" t="e">
        <f t="shared" si="72"/>
        <v>#VALUE!</v>
      </c>
      <c r="AK85" t="e">
        <f t="shared" si="73"/>
        <v>#VALUE!</v>
      </c>
      <c r="AM85" t="e">
        <f t="shared" si="74"/>
        <v>#VALUE!</v>
      </c>
      <c r="AN85" t="e">
        <f t="shared" si="68"/>
        <v>#VALUE!</v>
      </c>
    </row>
    <row r="86" spans="1:40" x14ac:dyDescent="0.25">
      <c r="A86" s="335">
        <v>900000</v>
      </c>
      <c r="B86" s="352">
        <f t="shared" si="17"/>
        <v>900</v>
      </c>
      <c r="C86" t="str">
        <f t="shared" si="54"/>
        <v>5654866.77i</v>
      </c>
      <c r="D86" s="30" t="str">
        <f t="shared" si="55"/>
        <v>-31977518186450.2</v>
      </c>
      <c r="E86" s="30" t="str">
        <f t="shared" si="56"/>
        <v>-180828604979628000000i</v>
      </c>
      <c r="G86" s="30" t="e">
        <f t="shared" si="75"/>
        <v>#VALUE!</v>
      </c>
      <c r="I86" s="30" t="e">
        <f t="shared" si="57"/>
        <v>#REF!</v>
      </c>
      <c r="J86" t="e">
        <f t="shared" si="18"/>
        <v>#REF!</v>
      </c>
      <c r="L86" s="30" t="e">
        <f t="shared" si="58"/>
        <v>#VALUE!</v>
      </c>
      <c r="M86" t="e">
        <f t="shared" si="59"/>
        <v>#VALUE!</v>
      </c>
      <c r="N86" t="e">
        <f t="shared" si="19"/>
        <v>#REF!</v>
      </c>
      <c r="O86" s="299" t="e">
        <f t="shared" si="20"/>
        <v>#VALUE!</v>
      </c>
      <c r="P86" s="651">
        <v>0</v>
      </c>
      <c r="Q86" s="397" t="str">
        <f t="shared" si="60"/>
        <v>1+1.9792033695i</v>
      </c>
      <c r="R86" s="397" t="str">
        <f t="shared" si="61"/>
        <v>-20.2274877530212i</v>
      </c>
      <c r="S86" s="397" t="str">
        <f t="shared" si="62"/>
        <v>-31.9647271791756</v>
      </c>
      <c r="T86" s="397" t="str">
        <f t="shared" si="21"/>
        <v>-30.9647271791756-18.2482843835212i</v>
      </c>
      <c r="U86" s="652">
        <v>1</v>
      </c>
      <c r="V86">
        <f t="shared" si="76"/>
        <v>1</v>
      </c>
      <c r="W86">
        <f t="shared" si="23"/>
        <v>0</v>
      </c>
      <c r="X86">
        <f t="shared" si="77"/>
        <v>0</v>
      </c>
      <c r="Z86" t="str">
        <f t="shared" si="63"/>
        <v>-0.0519283597315569-0.033315323192724i</v>
      </c>
      <c r="AA86">
        <f t="shared" si="69"/>
        <v>-24.194781244722876</v>
      </c>
      <c r="AB86">
        <f t="shared" si="64"/>
        <v>-147.31726418522518</v>
      </c>
      <c r="AD86" s="30" t="str">
        <f t="shared" si="65"/>
        <v>113.0973354i</v>
      </c>
      <c r="AE86" s="30" t="str">
        <f t="shared" si="70"/>
        <v>1+113.0973354i</v>
      </c>
      <c r="AF86" s="30" t="e">
        <f t="shared" si="66"/>
        <v>#VALUE!</v>
      </c>
      <c r="AG86" t="e">
        <f t="shared" si="67"/>
        <v>#VALUE!</v>
      </c>
      <c r="AH86" t="str">
        <f t="shared" si="71"/>
        <v>1+113.0973354i</v>
      </c>
      <c r="AI86" s="299" t="e">
        <f t="shared" si="72"/>
        <v>#VALUE!</v>
      </c>
      <c r="AK86" t="e">
        <f t="shared" si="73"/>
        <v>#VALUE!</v>
      </c>
      <c r="AM86" t="e">
        <f t="shared" si="74"/>
        <v>#VALUE!</v>
      </c>
      <c r="AN86" t="e">
        <f t="shared" si="68"/>
        <v>#VALUE!</v>
      </c>
    </row>
    <row r="87" spans="1:40" x14ac:dyDescent="0.25">
      <c r="A87" s="653">
        <v>1000000</v>
      </c>
      <c r="B87" s="352">
        <f t="shared" si="17"/>
        <v>1000</v>
      </c>
      <c r="C87" t="str">
        <f t="shared" si="54"/>
        <v>6283185.3i</v>
      </c>
      <c r="D87" s="30" t="str">
        <f t="shared" si="55"/>
        <v>-39478417514136.1</v>
      </c>
      <c r="E87" s="30" t="str">
        <f t="shared" si="56"/>
        <v>-248050212592083000000i</v>
      </c>
      <c r="G87" s="30" t="e">
        <f t="shared" si="75"/>
        <v>#VALUE!</v>
      </c>
      <c r="I87" s="30" t="e">
        <f t="shared" si="57"/>
        <v>#REF!</v>
      </c>
      <c r="J87" t="e">
        <f t="shared" si="18"/>
        <v>#REF!</v>
      </c>
      <c r="L87" s="30" t="e">
        <f t="shared" si="58"/>
        <v>#VALUE!</v>
      </c>
      <c r="M87" t="e">
        <f t="shared" si="59"/>
        <v>#VALUE!</v>
      </c>
      <c r="N87" t="e">
        <f t="shared" si="19"/>
        <v>#REF!</v>
      </c>
      <c r="O87" s="299" t="e">
        <f t="shared" si="20"/>
        <v>#VALUE!</v>
      </c>
      <c r="P87" s="651">
        <v>0</v>
      </c>
      <c r="Q87" s="397" t="str">
        <f t="shared" si="60"/>
        <v>1+2.199114855i</v>
      </c>
      <c r="R87" s="397" t="str">
        <f t="shared" si="61"/>
        <v>-27.7468967805504i</v>
      </c>
      <c r="S87" s="397" t="str">
        <f t="shared" si="62"/>
        <v>-39.4626261471305</v>
      </c>
      <c r="T87" s="397" t="str">
        <f t="shared" si="21"/>
        <v>-38.4626261471305-25.5477819255504i</v>
      </c>
      <c r="U87" s="652">
        <v>1</v>
      </c>
      <c r="V87">
        <f t="shared" si="76"/>
        <v>1</v>
      </c>
      <c r="W87">
        <f t="shared" si="23"/>
        <v>0</v>
      </c>
      <c r="X87">
        <f t="shared" si="77"/>
        <v>0</v>
      </c>
      <c r="Z87" t="str">
        <f t="shared" si="63"/>
        <v>-0.044391344457259-0.0276895930961649i</v>
      </c>
      <c r="AA87">
        <f t="shared" si="69"/>
        <v>-25.626768047686518</v>
      </c>
      <c r="AB87">
        <f t="shared" si="64"/>
        <v>-148.04569057314714</v>
      </c>
      <c r="AD87" s="30" t="str">
        <f t="shared" si="65"/>
        <v>125.663706i</v>
      </c>
      <c r="AE87" s="30" t="str">
        <f t="shared" si="70"/>
        <v>1+125.663706i</v>
      </c>
      <c r="AF87" s="30" t="e">
        <f t="shared" si="66"/>
        <v>#VALUE!</v>
      </c>
      <c r="AG87" t="e">
        <f t="shared" si="67"/>
        <v>#VALUE!</v>
      </c>
      <c r="AH87" t="str">
        <f t="shared" si="71"/>
        <v>1+125.663706i</v>
      </c>
      <c r="AI87" s="299" t="e">
        <f t="shared" si="72"/>
        <v>#VALUE!</v>
      </c>
      <c r="AK87" t="e">
        <f t="shared" si="73"/>
        <v>#VALUE!</v>
      </c>
      <c r="AM87" t="e">
        <f t="shared" si="74"/>
        <v>#VALUE!</v>
      </c>
      <c r="AN87" t="e">
        <f t="shared" si="68"/>
        <v>#VALUE!</v>
      </c>
    </row>
    <row r="88" spans="1:40" x14ac:dyDescent="0.25">
      <c r="A88" s="653">
        <v>2000000</v>
      </c>
      <c r="B88" s="352">
        <f t="shared" si="17"/>
        <v>2000</v>
      </c>
      <c r="C88" t="str">
        <f t="shared" si="54"/>
        <v>12566370.6i</v>
      </c>
      <c r="D88" s="30" t="str">
        <f t="shared" si="55"/>
        <v>-157913670056544</v>
      </c>
      <c r="E88" s="30" t="str">
        <f t="shared" si="56"/>
        <v>-1.98440170073666E+21i</v>
      </c>
      <c r="G88" s="30" t="e">
        <f t="shared" si="75"/>
        <v>#VALUE!</v>
      </c>
      <c r="I88" s="30" t="e">
        <f t="shared" si="57"/>
        <v>#REF!</v>
      </c>
      <c r="J88" t="e">
        <f t="shared" si="18"/>
        <v>#REF!</v>
      </c>
      <c r="L88" s="30" t="e">
        <f t="shared" si="58"/>
        <v>#VALUE!</v>
      </c>
      <c r="M88" t="e">
        <f t="shared" si="59"/>
        <v>#VALUE!</v>
      </c>
      <c r="N88" t="e">
        <f t="shared" si="19"/>
        <v>#REF!</v>
      </c>
      <c r="O88" s="299" t="e">
        <f t="shared" si="20"/>
        <v>#VALUE!</v>
      </c>
      <c r="P88" s="651">
        <v>0</v>
      </c>
      <c r="Q88" s="397" t="str">
        <f t="shared" si="60"/>
        <v>1+4.39822971i</v>
      </c>
      <c r="R88" s="397" t="str">
        <f t="shared" si="61"/>
        <v>-221.975174244403i</v>
      </c>
      <c r="S88" s="397" t="str">
        <f t="shared" si="62"/>
        <v>-157.850504588521</v>
      </c>
      <c r="T88" s="397" t="str">
        <f t="shared" si="21"/>
        <v>-156.850504588521-217.576944534403i</v>
      </c>
      <c r="U88" s="652">
        <v>1</v>
      </c>
      <c r="V88">
        <f t="shared" si="76"/>
        <v>1</v>
      </c>
      <c r="W88">
        <f t="shared" si="23"/>
        <v>0</v>
      </c>
      <c r="X88">
        <f t="shared" si="77"/>
        <v>0</v>
      </c>
      <c r="Z88" t="str">
        <f t="shared" si="63"/>
        <v>-0.0154820114155727-0.00656485596685991i</v>
      </c>
      <c r="AA88">
        <f t="shared" si="69"/>
        <v>-35.485359346827785</v>
      </c>
      <c r="AB88">
        <f t="shared" si="64"/>
        <v>-157.02154019060663</v>
      </c>
      <c r="AD88" s="30" t="str">
        <f t="shared" si="65"/>
        <v>251.327412i</v>
      </c>
      <c r="AE88" s="30" t="str">
        <f t="shared" si="70"/>
        <v>1+251.327412i</v>
      </c>
      <c r="AF88" s="30" t="e">
        <f t="shared" si="66"/>
        <v>#VALUE!</v>
      </c>
      <c r="AG88" t="e">
        <f t="shared" si="67"/>
        <v>#VALUE!</v>
      </c>
      <c r="AH88" t="str">
        <f t="shared" si="71"/>
        <v>1+251.327412i</v>
      </c>
      <c r="AI88" s="299" t="e">
        <f t="shared" si="72"/>
        <v>#VALUE!</v>
      </c>
      <c r="AK88" t="e">
        <f t="shared" si="73"/>
        <v>#VALUE!</v>
      </c>
      <c r="AM88" t="e">
        <f t="shared" si="74"/>
        <v>#VALUE!</v>
      </c>
      <c r="AN88" t="e">
        <f t="shared" si="68"/>
        <v>#VALUE!</v>
      </c>
    </row>
    <row r="89" spans="1:40" x14ac:dyDescent="0.25">
      <c r="A89" s="653">
        <v>3000000</v>
      </c>
      <c r="B89" s="352">
        <f t="shared" si="17"/>
        <v>3000</v>
      </c>
      <c r="C89" t="str">
        <f t="shared" si="54"/>
        <v>18849555.9i</v>
      </c>
      <c r="D89" s="30" t="str">
        <f t="shared" si="55"/>
        <v>-355305757627225</v>
      </c>
      <c r="E89" s="30" t="str">
        <f t="shared" si="56"/>
        <v>-6.69735573998623E+21i</v>
      </c>
      <c r="G89" s="30" t="e">
        <f t="shared" si="75"/>
        <v>#VALUE!</v>
      </c>
      <c r="I89" s="30" t="e">
        <f t="shared" si="57"/>
        <v>#REF!</v>
      </c>
      <c r="J89" t="e">
        <f t="shared" si="18"/>
        <v>#REF!</v>
      </c>
      <c r="L89" s="30" t="e">
        <f t="shared" si="58"/>
        <v>#VALUE!</v>
      </c>
      <c r="M89" t="e">
        <f t="shared" si="59"/>
        <v>#VALUE!</v>
      </c>
      <c r="N89" t="e">
        <f t="shared" si="19"/>
        <v>#REF!</v>
      </c>
      <c r="O89" s="299" t="e">
        <f t="shared" si="20"/>
        <v>#VALUE!</v>
      </c>
      <c r="P89" s="651">
        <v>0</v>
      </c>
      <c r="Q89" s="397" t="str">
        <f t="shared" si="60"/>
        <v>1+6.597344565i</v>
      </c>
      <c r="R89" s="397" t="str">
        <f t="shared" si="61"/>
        <v>-749.16621307486i</v>
      </c>
      <c r="S89" s="397" t="str">
        <f t="shared" si="62"/>
        <v>-355.163635324174</v>
      </c>
      <c r="T89" s="397" t="str">
        <f t="shared" si="21"/>
        <v>-354.163635324174-742.56886850986i</v>
      </c>
      <c r="U89" s="652">
        <v>1</v>
      </c>
      <c r="V89">
        <f t="shared" si="76"/>
        <v>1</v>
      </c>
      <c r="W89">
        <f t="shared" si="23"/>
        <v>0</v>
      </c>
      <c r="X89">
        <f t="shared" si="77"/>
        <v>0</v>
      </c>
      <c r="Z89" t="str">
        <f t="shared" si="63"/>
        <v>-0.00776127767315144-0.00235501700871593i</v>
      </c>
      <c r="AA89">
        <f t="shared" si="69"/>
        <v>-41.818827844809874</v>
      </c>
      <c r="AB89">
        <f t="shared" si="64"/>
        <v>-163.12054420169724</v>
      </c>
      <c r="AD89" s="30" t="str">
        <f t="shared" si="65"/>
        <v>376.991118i</v>
      </c>
      <c r="AE89" s="30" t="str">
        <f t="shared" si="70"/>
        <v>1+376.991118i</v>
      </c>
      <c r="AF89" s="30" t="e">
        <f t="shared" si="66"/>
        <v>#VALUE!</v>
      </c>
      <c r="AG89" t="e">
        <f t="shared" si="67"/>
        <v>#VALUE!</v>
      </c>
      <c r="AH89" t="str">
        <f t="shared" si="71"/>
        <v>1+376.991118i</v>
      </c>
      <c r="AI89" s="299" t="e">
        <f t="shared" si="72"/>
        <v>#VALUE!</v>
      </c>
      <c r="AK89" t="e">
        <f t="shared" si="73"/>
        <v>#VALUE!</v>
      </c>
      <c r="AM89" t="e">
        <f t="shared" si="74"/>
        <v>#VALUE!</v>
      </c>
      <c r="AN89" t="e">
        <f t="shared" si="68"/>
        <v>#VALUE!</v>
      </c>
    </row>
    <row r="90" spans="1:40" x14ac:dyDescent="0.25">
      <c r="A90" s="653">
        <v>4000000</v>
      </c>
      <c r="B90" s="352">
        <f t="shared" si="17"/>
        <v>4000</v>
      </c>
      <c r="C90" t="str">
        <f t="shared" si="54"/>
        <v>25132741.2i</v>
      </c>
      <c r="D90" s="30" t="str">
        <f t="shared" si="55"/>
        <v>-631654680226178</v>
      </c>
      <c r="E90" s="30" t="str">
        <f t="shared" si="56"/>
        <v>-1.58752136058933E+22i</v>
      </c>
      <c r="G90" s="30" t="e">
        <f t="shared" si="75"/>
        <v>#VALUE!</v>
      </c>
      <c r="I90" s="30" t="e">
        <f t="shared" si="57"/>
        <v>#REF!</v>
      </c>
      <c r="J90" t="e">
        <f t="shared" si="18"/>
        <v>#REF!</v>
      </c>
      <c r="L90" s="30" t="e">
        <f t="shared" si="58"/>
        <v>#VALUE!</v>
      </c>
      <c r="M90" t="e">
        <f t="shared" si="59"/>
        <v>#VALUE!</v>
      </c>
      <c r="N90" t="e">
        <f t="shared" si="19"/>
        <v>#REF!</v>
      </c>
      <c r="O90" s="299" t="e">
        <f t="shared" si="20"/>
        <v>#VALUE!</v>
      </c>
      <c r="P90" s="651">
        <v>0</v>
      </c>
      <c r="Q90" s="397" t="str">
        <f t="shared" si="60"/>
        <v>1+8.79645942i</v>
      </c>
      <c r="R90" s="397" t="str">
        <f t="shared" si="61"/>
        <v>-1775.80139395522i</v>
      </c>
      <c r="S90" s="397" t="str">
        <f t="shared" si="62"/>
        <v>-631.402018354088</v>
      </c>
      <c r="T90" s="397" t="str">
        <f t="shared" si="21"/>
        <v>-630.402018354088-1767.00493453522i</v>
      </c>
      <c r="U90" s="652">
        <v>1</v>
      </c>
      <c r="V90">
        <f t="shared" si="76"/>
        <v>1</v>
      </c>
      <c r="W90">
        <f t="shared" si="23"/>
        <v>0</v>
      </c>
      <c r="X90">
        <f t="shared" si="77"/>
        <v>0</v>
      </c>
      <c r="Z90" t="str">
        <f t="shared" si="63"/>
        <v>-0.00459520096124435-0.00107346840047734i</v>
      </c>
      <c r="AA90">
        <f t="shared" si="69"/>
        <v>-46.523147642689807</v>
      </c>
      <c r="AB90">
        <f t="shared" si="64"/>
        <v>-166.85114049434898</v>
      </c>
      <c r="AD90" s="30" t="str">
        <f t="shared" si="65"/>
        <v>502.654824i</v>
      </c>
      <c r="AE90" s="30" t="str">
        <f t="shared" si="70"/>
        <v>1+502.654824i</v>
      </c>
      <c r="AF90" s="30" t="e">
        <f t="shared" si="66"/>
        <v>#VALUE!</v>
      </c>
      <c r="AG90" t="e">
        <f t="shared" si="67"/>
        <v>#VALUE!</v>
      </c>
      <c r="AH90" t="str">
        <f t="shared" si="71"/>
        <v>1+502.654824i</v>
      </c>
      <c r="AI90" s="299" t="e">
        <f t="shared" si="72"/>
        <v>#VALUE!</v>
      </c>
      <c r="AK90" t="e">
        <f t="shared" si="73"/>
        <v>#VALUE!</v>
      </c>
      <c r="AM90" t="e">
        <f t="shared" si="74"/>
        <v>#VALUE!</v>
      </c>
      <c r="AN90" t="e">
        <f t="shared" si="68"/>
        <v>#VALUE!</v>
      </c>
    </row>
    <row r="91" spans="1:40" x14ac:dyDescent="0.25">
      <c r="A91" s="653">
        <v>5000000</v>
      </c>
      <c r="B91" s="352">
        <f t="shared" si="17"/>
        <v>5000</v>
      </c>
      <c r="C91" t="str">
        <f t="shared" si="54"/>
        <v>31415926.5i</v>
      </c>
      <c r="D91" s="30" t="str">
        <f t="shared" si="55"/>
        <v>-986960437853403</v>
      </c>
      <c r="E91" s="30" t="str">
        <f t="shared" si="56"/>
        <v>-3.10062765740103E+22i</v>
      </c>
      <c r="G91" s="30" t="e">
        <f t="shared" si="75"/>
        <v>#VALUE!</v>
      </c>
      <c r="I91" s="30" t="e">
        <f t="shared" si="57"/>
        <v>#REF!</v>
      </c>
      <c r="J91" t="e">
        <f t="shared" si="18"/>
        <v>#REF!</v>
      </c>
      <c r="L91" s="30" t="e">
        <f t="shared" si="58"/>
        <v>#VALUE!</v>
      </c>
      <c r="M91" t="e">
        <f t="shared" si="59"/>
        <v>#VALUE!</v>
      </c>
      <c r="N91" t="e">
        <f t="shared" si="19"/>
        <v>#REF!</v>
      </c>
      <c r="O91" s="299" t="e">
        <f t="shared" si="20"/>
        <v>#VALUE!</v>
      </c>
      <c r="P91" s="651">
        <v>0</v>
      </c>
      <c r="Q91" s="397" t="str">
        <f t="shared" si="60"/>
        <v>1+10.995574275i</v>
      </c>
      <c r="R91" s="397" t="str">
        <f t="shared" si="61"/>
        <v>-3468.36209756879i</v>
      </c>
      <c r="S91" s="397" t="str">
        <f t="shared" si="62"/>
        <v>-986.565653678262</v>
      </c>
      <c r="T91" s="397" t="str">
        <f t="shared" si="21"/>
        <v>-985.565653678262-3457.36652329379i</v>
      </c>
      <c r="U91" s="652">
        <v>1</v>
      </c>
      <c r="V91">
        <f t="shared" si="76"/>
        <v>1</v>
      </c>
      <c r="W91">
        <f t="shared" si="23"/>
        <v>0</v>
      </c>
      <c r="X91">
        <f t="shared" si="77"/>
        <v>0</v>
      </c>
      <c r="Z91" t="str">
        <f t="shared" si="63"/>
        <v>-0.00301757308495533-0.000570959537178404i</v>
      </c>
      <c r="AA91">
        <f t="shared" si="69"/>
        <v>-50.254080822840123</v>
      </c>
      <c r="AB91">
        <f t="shared" si="64"/>
        <v>-169.28564289756036</v>
      </c>
      <c r="AD91" s="30" t="str">
        <f t="shared" si="65"/>
        <v>628.31853i</v>
      </c>
      <c r="AE91" s="30" t="str">
        <f t="shared" si="70"/>
        <v>1+628.31853i</v>
      </c>
      <c r="AF91" s="30" t="e">
        <f t="shared" si="66"/>
        <v>#VALUE!</v>
      </c>
      <c r="AG91" t="e">
        <f t="shared" si="67"/>
        <v>#VALUE!</v>
      </c>
      <c r="AH91" t="str">
        <f t="shared" si="71"/>
        <v>1+628.31853i</v>
      </c>
      <c r="AI91" s="299" t="e">
        <f t="shared" si="72"/>
        <v>#VALUE!</v>
      </c>
      <c r="AK91" t="e">
        <f t="shared" si="73"/>
        <v>#VALUE!</v>
      </c>
      <c r="AM91" t="e">
        <f t="shared" si="74"/>
        <v>#VALUE!</v>
      </c>
      <c r="AN91" t="e">
        <f t="shared" si="68"/>
        <v>#VALUE!</v>
      </c>
    </row>
    <row r="92" spans="1:40" x14ac:dyDescent="0.25">
      <c r="A92" s="653">
        <v>6000000</v>
      </c>
      <c r="B92" s="352">
        <f t="shared" si="17"/>
        <v>6000</v>
      </c>
      <c r="C92" t="str">
        <f t="shared" si="54"/>
        <v>37699111.8i</v>
      </c>
      <c r="D92" s="30" t="str">
        <f t="shared" si="55"/>
        <v>-1421223030508900</v>
      </c>
      <c r="E92" s="30" t="str">
        <f t="shared" si="56"/>
        <v>-5.35788459198898E+22i</v>
      </c>
      <c r="G92" s="30" t="e">
        <f t="shared" si="75"/>
        <v>#VALUE!</v>
      </c>
      <c r="I92" s="30" t="e">
        <f t="shared" si="57"/>
        <v>#REF!</v>
      </c>
      <c r="J92" t="e">
        <f t="shared" si="18"/>
        <v>#REF!</v>
      </c>
      <c r="L92" s="30" t="e">
        <f t="shared" si="58"/>
        <v>#VALUE!</v>
      </c>
      <c r="M92" t="e">
        <f t="shared" si="59"/>
        <v>#VALUE!</v>
      </c>
      <c r="N92" t="e">
        <f t="shared" si="19"/>
        <v>#REF!</v>
      </c>
      <c r="O92" s="299" t="e">
        <f t="shared" si="20"/>
        <v>#VALUE!</v>
      </c>
      <c r="P92" s="651">
        <v>0</v>
      </c>
      <c r="Q92" s="397" t="str">
        <f t="shared" si="60"/>
        <v>1+13.19468913i</v>
      </c>
      <c r="R92" s="397" t="str">
        <f t="shared" si="61"/>
        <v>-5993.32970459887i</v>
      </c>
      <c r="S92" s="397" t="str">
        <f t="shared" si="62"/>
        <v>-1420.6545412967</v>
      </c>
      <c r="T92" s="397" t="str">
        <f t="shared" si="21"/>
        <v>-1419.6545412967-5980.13501546887i</v>
      </c>
      <c r="U92" s="652">
        <v>1</v>
      </c>
      <c r="V92">
        <f t="shared" si="76"/>
        <v>1</v>
      </c>
      <c r="W92">
        <f t="shared" si="23"/>
        <v>0</v>
      </c>
      <c r="X92">
        <f t="shared" si="77"/>
        <v>0</v>
      </c>
      <c r="Z92" t="str">
        <f t="shared" si="63"/>
        <v>-0.00212628728062533-0.000337549802608077i</v>
      </c>
      <c r="AA92">
        <f t="shared" si="69"/>
        <v>-53.339467507298949</v>
      </c>
      <c r="AB92">
        <f t="shared" si="64"/>
        <v>-170.979524286046</v>
      </c>
      <c r="AD92" s="30" t="str">
        <f t="shared" si="65"/>
        <v>753.982236i</v>
      </c>
      <c r="AE92" s="30" t="str">
        <f t="shared" si="70"/>
        <v>1+753.982236i</v>
      </c>
      <c r="AF92" s="30" t="e">
        <f t="shared" si="66"/>
        <v>#VALUE!</v>
      </c>
      <c r="AG92" t="e">
        <f t="shared" si="67"/>
        <v>#VALUE!</v>
      </c>
      <c r="AH92" t="str">
        <f t="shared" si="71"/>
        <v>1+753.982236i</v>
      </c>
      <c r="AI92" s="299" t="e">
        <f t="shared" si="72"/>
        <v>#VALUE!</v>
      </c>
      <c r="AK92" t="e">
        <f t="shared" si="73"/>
        <v>#VALUE!</v>
      </c>
      <c r="AM92" t="e">
        <f t="shared" si="74"/>
        <v>#VALUE!</v>
      </c>
      <c r="AN92" t="e">
        <f t="shared" si="68"/>
        <v>#VALUE!</v>
      </c>
    </row>
    <row r="93" spans="1:40" x14ac:dyDescent="0.25">
      <c r="A93" s="653">
        <v>7000000</v>
      </c>
      <c r="B93" s="352">
        <f t="shared" si="17"/>
        <v>7000</v>
      </c>
      <c r="C93" t="str">
        <f t="shared" si="54"/>
        <v>43982297.1i</v>
      </c>
      <c r="D93" s="30" t="str">
        <f t="shared" si="55"/>
        <v>-1934442458192670</v>
      </c>
      <c r="E93" s="30" t="str">
        <f t="shared" si="56"/>
        <v>-8.50812229190843E+22i</v>
      </c>
      <c r="G93" s="30" t="e">
        <f t="shared" si="75"/>
        <v>#VALUE!</v>
      </c>
      <c r="I93" s="30" t="e">
        <f t="shared" si="57"/>
        <v>#REF!</v>
      </c>
      <c r="J93" t="e">
        <f t="shared" si="18"/>
        <v>#REF!</v>
      </c>
      <c r="L93" s="30" t="e">
        <f t="shared" si="58"/>
        <v>#VALUE!</v>
      </c>
      <c r="M93" t="e">
        <f t="shared" si="59"/>
        <v>#VALUE!</v>
      </c>
      <c r="N93" t="e">
        <f t="shared" si="19"/>
        <v>#REF!</v>
      </c>
      <c r="O93" s="299" t="e">
        <f t="shared" si="20"/>
        <v>#VALUE!</v>
      </c>
      <c r="P93" s="651">
        <v>0</v>
      </c>
      <c r="Q93" s="397" t="str">
        <f t="shared" si="60"/>
        <v>1+15.393803985i</v>
      </c>
      <c r="R93" s="397" t="str">
        <f t="shared" si="61"/>
        <v>-9517.18559572877i</v>
      </c>
      <c r="S93" s="397" t="str">
        <f t="shared" si="62"/>
        <v>-1933.66868120939</v>
      </c>
      <c r="T93" s="397" t="str">
        <f t="shared" si="21"/>
        <v>-1932.66868120939-9501.79179174377i</v>
      </c>
      <c r="U93" s="652">
        <v>1</v>
      </c>
      <c r="V93">
        <f t="shared" si="76"/>
        <v>1</v>
      </c>
      <c r="W93">
        <f t="shared" si="23"/>
        <v>0</v>
      </c>
      <c r="X93">
        <f t="shared" si="77"/>
        <v>0</v>
      </c>
      <c r="Z93" t="str">
        <f t="shared" si="63"/>
        <v>-0.00157628762603077-0.000215374297002146i</v>
      </c>
      <c r="AA93">
        <f t="shared" si="69"/>
        <v>-55.966960551322785</v>
      </c>
      <c r="AB93">
        <f t="shared" si="64"/>
        <v>-172.21963347996476</v>
      </c>
      <c r="AD93" s="30" t="str">
        <f t="shared" si="65"/>
        <v>879.645942i</v>
      </c>
      <c r="AE93" s="30" t="str">
        <f t="shared" si="70"/>
        <v>1+879.645942i</v>
      </c>
      <c r="AF93" s="30" t="e">
        <f t="shared" si="66"/>
        <v>#VALUE!</v>
      </c>
      <c r="AG93" t="e">
        <f t="shared" si="67"/>
        <v>#VALUE!</v>
      </c>
      <c r="AH93" t="str">
        <f t="shared" si="71"/>
        <v>1+879.645942i</v>
      </c>
      <c r="AI93" s="299" t="e">
        <f t="shared" si="72"/>
        <v>#VALUE!</v>
      </c>
      <c r="AK93" t="e">
        <f t="shared" si="73"/>
        <v>#VALUE!</v>
      </c>
      <c r="AM93" t="e">
        <f t="shared" si="74"/>
        <v>#VALUE!</v>
      </c>
      <c r="AN93" t="e">
        <f t="shared" si="68"/>
        <v>#VALUE!</v>
      </c>
    </row>
    <row r="94" spans="1:40" x14ac:dyDescent="0.25">
      <c r="A94" s="653">
        <v>8000000</v>
      </c>
      <c r="B94" s="352">
        <f t="shared" si="17"/>
        <v>8000</v>
      </c>
      <c r="C94" t="str">
        <f t="shared" si="54"/>
        <v>50265482.4i</v>
      </c>
      <c r="D94" s="30" t="str">
        <f t="shared" si="55"/>
        <v>-2526618720904710</v>
      </c>
      <c r="E94" s="30" t="str">
        <f t="shared" si="56"/>
        <v>-1.27001708847146E+23i</v>
      </c>
      <c r="G94" s="30" t="e">
        <f t="shared" si="75"/>
        <v>#VALUE!</v>
      </c>
      <c r="I94" s="30" t="e">
        <f t="shared" si="57"/>
        <v>#REF!</v>
      </c>
      <c r="J94" t="e">
        <f t="shared" si="18"/>
        <v>#REF!</v>
      </c>
      <c r="L94" s="30" t="e">
        <f t="shared" si="58"/>
        <v>#VALUE!</v>
      </c>
      <c r="M94" t="e">
        <f t="shared" si="59"/>
        <v>#VALUE!</v>
      </c>
      <c r="N94" t="e">
        <f t="shared" si="19"/>
        <v>#REF!</v>
      </c>
      <c r="O94" s="299" t="e">
        <f t="shared" si="20"/>
        <v>#VALUE!</v>
      </c>
      <c r="P94" s="651">
        <v>0</v>
      </c>
      <c r="Q94" s="397" t="str">
        <f t="shared" si="60"/>
        <v>1+17.59291884i</v>
      </c>
      <c r="R94" s="397" t="str">
        <f t="shared" si="61"/>
        <v>-14206.4111516417i</v>
      </c>
      <c r="S94" s="397" t="str">
        <f t="shared" si="62"/>
        <v>-2525.60807341635</v>
      </c>
      <c r="T94" s="397" t="str">
        <f t="shared" si="21"/>
        <v>-2524.60807341635-14188.8182328017i</v>
      </c>
      <c r="U94" s="652">
        <v>1</v>
      </c>
      <c r="V94">
        <f t="shared" si="76"/>
        <v>1</v>
      </c>
      <c r="W94">
        <f t="shared" si="23"/>
        <v>0</v>
      </c>
      <c r="X94">
        <f t="shared" si="77"/>
        <v>0</v>
      </c>
      <c r="Z94" t="str">
        <f t="shared" si="63"/>
        <v>-0.00121401992445827-0.000145531817287078i</v>
      </c>
      <c r="AA94">
        <f t="shared" si="69"/>
        <v>-58.253518683206799</v>
      </c>
      <c r="AB94">
        <f t="shared" si="64"/>
        <v>-173.1642323462458</v>
      </c>
      <c r="AD94" s="30" t="str">
        <f t="shared" si="65"/>
        <v>1005.309648i</v>
      </c>
      <c r="AE94" s="30" t="str">
        <f t="shared" si="70"/>
        <v>1+1005.309648i</v>
      </c>
      <c r="AF94" s="30" t="e">
        <f t="shared" si="66"/>
        <v>#VALUE!</v>
      </c>
      <c r="AG94" t="e">
        <f t="shared" si="67"/>
        <v>#VALUE!</v>
      </c>
      <c r="AH94" t="str">
        <f t="shared" si="71"/>
        <v>1+1005.309648i</v>
      </c>
      <c r="AI94" s="299" t="e">
        <f t="shared" si="72"/>
        <v>#VALUE!</v>
      </c>
      <c r="AK94" t="e">
        <f t="shared" si="73"/>
        <v>#VALUE!</v>
      </c>
      <c r="AM94" t="e">
        <f t="shared" si="74"/>
        <v>#VALUE!</v>
      </c>
      <c r="AN94" t="e">
        <f t="shared" si="68"/>
        <v>#VALUE!</v>
      </c>
    </row>
    <row r="95" spans="1:40" x14ac:dyDescent="0.25">
      <c r="A95" s="653">
        <v>9000000</v>
      </c>
      <c r="B95" s="352">
        <f t="shared" si="17"/>
        <v>9000</v>
      </c>
      <c r="C95" t="str">
        <f t="shared" si="54"/>
        <v>56548667.7i</v>
      </c>
      <c r="D95" s="30" t="str">
        <f t="shared" si="55"/>
        <v>-3197751818645020</v>
      </c>
      <c r="E95" s="30" t="str">
        <f t="shared" si="56"/>
        <v>-1.80828604979628E+23i</v>
      </c>
      <c r="G95" s="30" t="e">
        <f t="shared" si="75"/>
        <v>#VALUE!</v>
      </c>
      <c r="I95" s="30" t="e">
        <f t="shared" si="57"/>
        <v>#REF!</v>
      </c>
      <c r="J95" t="e">
        <f t="shared" si="18"/>
        <v>#REF!</v>
      </c>
      <c r="L95" s="30" t="e">
        <f t="shared" si="58"/>
        <v>#VALUE!</v>
      </c>
      <c r="M95" t="e">
        <f t="shared" si="59"/>
        <v>#VALUE!</v>
      </c>
      <c r="N95" t="e">
        <f t="shared" si="19"/>
        <v>#REF!</v>
      </c>
      <c r="O95" s="299" t="e">
        <f t="shared" si="20"/>
        <v>#VALUE!</v>
      </c>
      <c r="P95" s="651">
        <v>0</v>
      </c>
      <c r="Q95" s="397" t="str">
        <f t="shared" si="60"/>
        <v>1+19.792033695i</v>
      </c>
      <c r="R95" s="397" t="str">
        <f t="shared" si="61"/>
        <v>-20227.4877530212i</v>
      </c>
      <c r="S95" s="397" t="str">
        <f t="shared" si="62"/>
        <v>-3196.47271791756</v>
      </c>
      <c r="T95" s="397" t="str">
        <f t="shared" si="21"/>
        <v>-3195.47271791756-20207.6957193262i</v>
      </c>
      <c r="U95" s="652">
        <v>1</v>
      </c>
      <c r="V95">
        <f t="shared" si="76"/>
        <v>1</v>
      </c>
      <c r="W95">
        <f t="shared" si="23"/>
        <v>0</v>
      </c>
      <c r="X95">
        <f t="shared" si="77"/>
        <v>0</v>
      </c>
      <c r="Z95" t="str">
        <f t="shared" si="63"/>
        <v>-0.000963171180292813-0.000102821581350465i</v>
      </c>
      <c r="AA95">
        <f t="shared" si="69"/>
        <v>-60.27671706539698</v>
      </c>
      <c r="AB95">
        <f t="shared" si="64"/>
        <v>-173.90657129969617</v>
      </c>
      <c r="AD95" s="30" t="str">
        <f t="shared" si="65"/>
        <v>1130.973354i</v>
      </c>
      <c r="AE95" s="30" t="str">
        <f t="shared" si="70"/>
        <v>1+1130.973354i</v>
      </c>
      <c r="AF95" s="30" t="e">
        <f t="shared" si="66"/>
        <v>#VALUE!</v>
      </c>
      <c r="AG95" t="e">
        <f t="shared" si="67"/>
        <v>#VALUE!</v>
      </c>
      <c r="AH95" t="str">
        <f t="shared" si="71"/>
        <v>1+1130.973354i</v>
      </c>
      <c r="AI95" s="299" t="e">
        <f t="shared" si="72"/>
        <v>#VALUE!</v>
      </c>
      <c r="AK95" t="e">
        <f t="shared" si="73"/>
        <v>#VALUE!</v>
      </c>
      <c r="AM95" t="e">
        <f t="shared" si="74"/>
        <v>#VALUE!</v>
      </c>
      <c r="AN95" t="e">
        <f t="shared" si="68"/>
        <v>#VALUE!</v>
      </c>
    </row>
    <row r="96" spans="1:40" x14ac:dyDescent="0.25">
      <c r="A96" s="653">
        <v>10000000</v>
      </c>
      <c r="B96" s="352">
        <f t="shared" si="17"/>
        <v>10000</v>
      </c>
      <c r="C96" t="str">
        <f t="shared" si="54"/>
        <v>62831853i</v>
      </c>
      <c r="D96" s="30" t="str">
        <f t="shared" si="55"/>
        <v>-3947841751413610</v>
      </c>
      <c r="E96" s="30" t="str">
        <f t="shared" si="56"/>
        <v>-2.48050212592082E+23i</v>
      </c>
      <c r="G96" s="30" t="e">
        <f t="shared" si="75"/>
        <v>#VALUE!</v>
      </c>
      <c r="I96" s="30" t="e">
        <f t="shared" si="57"/>
        <v>#REF!</v>
      </c>
      <c r="J96" t="e">
        <f t="shared" si="18"/>
        <v>#REF!</v>
      </c>
      <c r="L96" s="30" t="e">
        <f t="shared" si="58"/>
        <v>#VALUE!</v>
      </c>
      <c r="M96" t="e">
        <f t="shared" si="59"/>
        <v>#VALUE!</v>
      </c>
      <c r="N96" t="e">
        <f t="shared" si="19"/>
        <v>#REF!</v>
      </c>
      <c r="O96" s="299" t="e">
        <f t="shared" si="20"/>
        <v>#VALUE!</v>
      </c>
      <c r="P96" s="651">
        <v>0</v>
      </c>
      <c r="Q96" s="397" t="str">
        <f t="shared" si="60"/>
        <v>1+21.99114855i</v>
      </c>
      <c r="R96" s="397" t="str">
        <f t="shared" si="61"/>
        <v>-27746.8967805503i</v>
      </c>
      <c r="S96" s="397" t="str">
        <f t="shared" si="62"/>
        <v>-3946.26261471304</v>
      </c>
      <c r="T96" s="397" t="str">
        <f t="shared" si="21"/>
        <v>-3945.26261471304-27724.9056320003i</v>
      </c>
      <c r="U96" s="652">
        <v>1</v>
      </c>
      <c r="V96">
        <f t="shared" si="76"/>
        <v>1</v>
      </c>
      <c r="W96">
        <f t="shared" si="23"/>
        <v>0</v>
      </c>
      <c r="X96">
        <f t="shared" si="77"/>
        <v>0</v>
      </c>
      <c r="Z96" t="str">
        <f t="shared" si="63"/>
        <v>-0.000782478973720499-0.0000752783461022707i</v>
      </c>
      <c r="AA96">
        <f t="shared" si="69"/>
        <v>-62.09053569388221</v>
      </c>
      <c r="AB96">
        <f t="shared" si="64"/>
        <v>-174.50477476720093</v>
      </c>
      <c r="AD96" s="30" t="str">
        <f t="shared" si="65"/>
        <v>1256.63706i</v>
      </c>
      <c r="AE96" s="30" t="str">
        <f t="shared" si="70"/>
        <v>1+1256.63706i</v>
      </c>
      <c r="AF96" s="30" t="e">
        <f t="shared" si="66"/>
        <v>#VALUE!</v>
      </c>
      <c r="AG96" t="e">
        <f t="shared" si="67"/>
        <v>#VALUE!</v>
      </c>
      <c r="AH96" t="str">
        <f t="shared" si="71"/>
        <v>1+1256.63706i</v>
      </c>
      <c r="AI96" s="299" t="e">
        <f t="shared" si="72"/>
        <v>#VALUE!</v>
      </c>
      <c r="AK96" t="e">
        <f t="shared" si="73"/>
        <v>#VALUE!</v>
      </c>
      <c r="AM96" t="e">
        <f t="shared" si="74"/>
        <v>#VALUE!</v>
      </c>
      <c r="AN96" t="e">
        <f t="shared" si="68"/>
        <v>#VALUE!</v>
      </c>
    </row>
    <row r="97" spans="1:40" x14ac:dyDescent="0.25">
      <c r="A97" s="307">
        <f>Fsw</f>
        <v>405680</v>
      </c>
      <c r="B97" s="352">
        <f>A97/1000</f>
        <v>405.68</v>
      </c>
      <c r="C97" t="str">
        <f t="shared" si="54"/>
        <v>2548962.612504i</v>
      </c>
      <c r="D97" s="30" t="str">
        <f t="shared" si="55"/>
        <v>-6497210399943.22</v>
      </c>
      <c r="E97" s="30" t="str">
        <f t="shared" si="56"/>
        <v>-16561146395027400000i</v>
      </c>
      <c r="G97" s="30" t="e">
        <f t="shared" si="75"/>
        <v>#VALUE!</v>
      </c>
      <c r="I97" s="30" t="e">
        <f t="shared" si="57"/>
        <v>#REF!</v>
      </c>
      <c r="J97" t="e">
        <f>IMSUM(1,I97)</f>
        <v>#REF!</v>
      </c>
      <c r="L97" s="30" t="e">
        <f t="shared" si="58"/>
        <v>#VALUE!</v>
      </c>
      <c r="M97" t="e">
        <f t="shared" si="59"/>
        <v>#VALUE!</v>
      </c>
      <c r="N97" t="e">
        <f>J97</f>
        <v>#REF!</v>
      </c>
      <c r="O97" s="299" t="e">
        <f>IMSUM(L97:N97)</f>
        <v>#VALUE!</v>
      </c>
      <c r="P97" s="651">
        <v>2</v>
      </c>
      <c r="Q97" s="397" t="str">
        <f t="shared" si="60"/>
        <v>1+0.8921369143764i</v>
      </c>
      <c r="R97" s="397" t="str">
        <f t="shared" si="61"/>
        <v>-1.85252983574776i</v>
      </c>
      <c r="S97" s="397" t="str">
        <f t="shared" si="62"/>
        <v>-6.49461151578324</v>
      </c>
      <c r="T97" s="397" t="str">
        <f>IMSUM(S97,R97,Q97)</f>
        <v>-5.49461151578324-0.96039292137136i</v>
      </c>
      <c r="U97" s="652">
        <v>1</v>
      </c>
      <c r="V97">
        <f t="shared" si="76"/>
        <v>1</v>
      </c>
      <c r="W97">
        <f>20*LOG10(IMABS(V97))</f>
        <v>0</v>
      </c>
      <c r="X97">
        <f t="shared" si="77"/>
        <v>0</v>
      </c>
      <c r="Z97" t="str">
        <f t="shared" si="63"/>
        <v>-0.204139458818343-0.126684629323691i</v>
      </c>
      <c r="AA97">
        <f t="shared" si="69"/>
        <v>-12.386592769258344</v>
      </c>
      <c r="AB97">
        <f t="shared" si="64"/>
        <v>-148.17713710779674</v>
      </c>
      <c r="AD97" s="30" t="str">
        <f t="shared" si="65"/>
        <v>50.97925225008i</v>
      </c>
      <c r="AE97" s="30" t="str">
        <f t="shared" si="70"/>
        <v>1+50.97925225008i</v>
      </c>
      <c r="AF97" s="30" t="e">
        <f t="shared" si="66"/>
        <v>#VALUE!</v>
      </c>
      <c r="AG97" t="e">
        <f t="shared" si="67"/>
        <v>#VALUE!</v>
      </c>
      <c r="AH97" t="str">
        <f t="shared" si="71"/>
        <v>1+50.97925225008i</v>
      </c>
      <c r="AI97" s="299" t="e">
        <f t="shared" si="72"/>
        <v>#VALUE!</v>
      </c>
      <c r="AK97" t="e">
        <f t="shared" si="73"/>
        <v>#VALUE!</v>
      </c>
      <c r="AM97" t="e">
        <f t="shared" si="74"/>
        <v>#VALUE!</v>
      </c>
      <c r="AN97" t="e">
        <f t="shared" si="68"/>
        <v>#VALUE!</v>
      </c>
    </row>
    <row r="98" spans="1:40" x14ac:dyDescent="0.25">
      <c r="A98" s="416"/>
      <c r="B98" s="342"/>
    </row>
    <row r="99" spans="1:40" x14ac:dyDescent="0.25">
      <c r="A99" s="416"/>
      <c r="B99" s="342"/>
    </row>
    <row r="100" spans="1:40" x14ac:dyDescent="0.25">
      <c r="A100" s="393"/>
    </row>
    <row r="101" spans="1:40" x14ac:dyDescent="0.25">
      <c r="A101" s="393"/>
    </row>
    <row r="102" spans="1:40" x14ac:dyDescent="0.25">
      <c r="A102" s="393"/>
    </row>
    <row r="112" spans="1:40" x14ac:dyDescent="0.25">
      <c r="A112" s="347"/>
    </row>
    <row r="113" spans="1:1" x14ac:dyDescent="0.25">
      <c r="A113" s="347"/>
    </row>
  </sheetData>
  <mergeCells count="8">
    <mergeCell ref="AD11:AE11"/>
    <mergeCell ref="AF11:AI11"/>
    <mergeCell ref="A10:A12"/>
    <mergeCell ref="B10:B11"/>
    <mergeCell ref="I11:J11"/>
    <mergeCell ref="L11:O11"/>
    <mergeCell ref="Q11:T11"/>
    <mergeCell ref="R12:T1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T159"/>
  <sheetViews>
    <sheetView topLeftCell="H1" zoomScale="115" zoomScaleNormal="115" workbookViewId="0">
      <selection activeCell="R12" sqref="R12"/>
    </sheetView>
  </sheetViews>
  <sheetFormatPr defaultRowHeight="12.5" x14ac:dyDescent="0.25"/>
  <cols>
    <col min="1" max="1" width="17.36328125" customWidth="1"/>
    <col min="2" max="2" width="12" bestFit="1" customWidth="1"/>
    <col min="3" max="4" width="12.453125" bestFit="1" customWidth="1"/>
    <col min="7" max="9" width="12.453125" bestFit="1" customWidth="1"/>
    <col min="10" max="10" width="11.453125" bestFit="1" customWidth="1"/>
    <col min="11" max="12" width="11.453125" customWidth="1"/>
    <col min="13" max="13" width="10.453125" customWidth="1"/>
    <col min="14" max="15" width="10" customWidth="1"/>
    <col min="17" max="17" width="12.08984375" customWidth="1"/>
    <col min="18" max="18" width="12.453125" bestFit="1" customWidth="1"/>
    <col min="19" max="19" width="15.453125" customWidth="1"/>
  </cols>
  <sheetData>
    <row r="2" spans="1:20" x14ac:dyDescent="0.25">
      <c r="A2" t="s">
        <v>157</v>
      </c>
      <c r="B2" t="s">
        <v>150</v>
      </c>
      <c r="C2" t="s">
        <v>31</v>
      </c>
      <c r="D2" t="s">
        <v>32</v>
      </c>
      <c r="E2" t="s">
        <v>25</v>
      </c>
      <c r="F2" t="s">
        <v>57</v>
      </c>
      <c r="G2" s="113" t="s">
        <v>630</v>
      </c>
      <c r="H2" s="113" t="s">
        <v>310</v>
      </c>
      <c r="I2" s="113" t="s">
        <v>661</v>
      </c>
      <c r="J2" s="113" t="s">
        <v>662</v>
      </c>
      <c r="K2" s="113" t="s">
        <v>798</v>
      </c>
      <c r="L2" s="113" t="s">
        <v>800</v>
      </c>
      <c r="M2" s="113" t="s">
        <v>765</v>
      </c>
      <c r="N2" s="113" t="s">
        <v>769</v>
      </c>
      <c r="O2" s="113"/>
    </row>
    <row r="3" spans="1:20" ht="13" x14ac:dyDescent="0.3">
      <c r="A3" t="s">
        <v>160</v>
      </c>
      <c r="B3">
        <f>Css</f>
        <v>0</v>
      </c>
      <c r="C3">
        <f>Cc1ea</f>
        <v>8.748360945741021E-10</v>
      </c>
      <c r="D3">
        <f>Cc2ea</f>
        <v>-1.4579241571846479E-11</v>
      </c>
      <c r="E3">
        <f>Cout</f>
        <v>2.0000000000000001E-4</v>
      </c>
      <c r="F3">
        <f>Cin</f>
        <v>3.0000000000000001E-5</v>
      </c>
      <c r="G3">
        <f>Cres</f>
        <v>3.3333333333333335E-7</v>
      </c>
      <c r="H3">
        <f>Cdither_init</f>
        <v>2.0226537216828479E-9</v>
      </c>
      <c r="I3">
        <f>Cc3ea</f>
        <v>0</v>
      </c>
      <c r="J3">
        <f>Cc4ea</f>
        <v>0</v>
      </c>
      <c r="K3" s="30" t="e">
        <f>'Variable Management'!B292*0.000001</f>
        <v>#VALUE!</v>
      </c>
      <c r="L3" s="30" t="e">
        <f>K3*4</f>
        <v>#VALUE!</v>
      </c>
      <c r="M3" t="e">
        <f>Cinj_AEF*0.000001</f>
        <v>#VALUE!</v>
      </c>
      <c r="N3" t="e">
        <f>'Variable Management'!B295*0.000001</f>
        <v>#VALUE!</v>
      </c>
      <c r="Q3" t="s">
        <v>162</v>
      </c>
      <c r="R3" t="s">
        <v>163</v>
      </c>
      <c r="S3" s="2" t="s">
        <v>159</v>
      </c>
    </row>
    <row r="4" spans="1:20" ht="13" x14ac:dyDescent="0.3">
      <c r="A4" s="7" t="s">
        <v>159</v>
      </c>
      <c r="B4" s="7">
        <f>SUM(B6:B158)/1000000000000</f>
        <v>0</v>
      </c>
      <c r="C4" s="7">
        <f>IF(C3="OPEN","OPEN",SUM(C6:C158)/1000000000000)</f>
        <v>8.1999999999999996E-10</v>
      </c>
      <c r="D4" s="7">
        <f>SUM(D6:D158)/1000000000000</f>
        <v>0</v>
      </c>
      <c r="E4" s="7">
        <f>SUM(E6:E158)/1000000000000</f>
        <v>2.2000000000000001E-4</v>
      </c>
      <c r="F4" s="7">
        <f>SUM(F6:F158)/1000000000000</f>
        <v>3.3000000000000003E-5</v>
      </c>
      <c r="G4" s="7">
        <f>SUM(G6:G158)/1000000000000</f>
        <v>3.3000000000000002E-7</v>
      </c>
      <c r="H4" s="7">
        <f t="shared" ref="H4:N4" si="0">IF(H3="OPEN","OPEN",SUM(H6:H158)/1000000000000)</f>
        <v>2.1999999999999998E-9</v>
      </c>
      <c r="I4" s="7">
        <f t="shared" si="0"/>
        <v>0</v>
      </c>
      <c r="J4" s="7">
        <f t="shared" si="0"/>
        <v>0</v>
      </c>
      <c r="K4" s="7" t="e">
        <f t="shared" si="0"/>
        <v>#VALUE!</v>
      </c>
      <c r="L4" s="7" t="e">
        <f t="shared" si="0"/>
        <v>#VALUE!</v>
      </c>
      <c r="M4" s="7" t="e">
        <f t="shared" si="0"/>
        <v>#VALUE!</v>
      </c>
      <c r="N4" s="7" t="e">
        <f t="shared" si="0"/>
        <v>#VALUE!</v>
      </c>
      <c r="O4" s="7"/>
      <c r="Q4" s="113" t="s">
        <v>272</v>
      </c>
      <c r="R4">
        <f>Rfadj</f>
        <v>53.6</v>
      </c>
      <c r="S4" s="2">
        <f>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53.6</v>
      </c>
      <c r="T4" s="45" t="s">
        <v>260</v>
      </c>
    </row>
    <row r="5" spans="1:20" ht="13" x14ac:dyDescent="0.3">
      <c r="A5" t="s">
        <v>158</v>
      </c>
      <c r="S5" s="2"/>
      <c r="T5" s="45"/>
    </row>
    <row r="6" spans="1:20" ht="13" x14ac:dyDescent="0.3">
      <c r="A6">
        <v>0.47</v>
      </c>
      <c r="B6">
        <f t="shared" ref="B6:N6" si="1">IF(IF((B$3*10^12-$A7)*(B$3*10^12-$A6)*-1&lt;0,0,1)*IF(ABS(B$3*10^12-$A7)&gt;(B$3*10^12-$A6),$A6,$A7)=B7,0,IF((B$3*10^12-$A7)*(B$3*10^12-$A6)*-1&lt;0,0,1)*IF(ABS(B$3*10^12-$A7)&gt;(B$3*10^12-$A6),$A6,$A7))</f>
        <v>0</v>
      </c>
      <c r="C6">
        <f t="shared" si="1"/>
        <v>0</v>
      </c>
      <c r="D6">
        <f t="shared" si="1"/>
        <v>0</v>
      </c>
      <c r="E6">
        <f t="shared" si="1"/>
        <v>0</v>
      </c>
      <c r="F6">
        <f t="shared" si="1"/>
        <v>0</v>
      </c>
      <c r="G6">
        <f t="shared" si="1"/>
        <v>0</v>
      </c>
      <c r="H6">
        <f t="shared" si="1"/>
        <v>0</v>
      </c>
      <c r="I6">
        <f t="shared" si="1"/>
        <v>0</v>
      </c>
      <c r="J6">
        <f t="shared" si="1"/>
        <v>0</v>
      </c>
      <c r="K6" t="e">
        <f t="shared" si="1"/>
        <v>#VALUE!</v>
      </c>
      <c r="L6" t="e">
        <f t="shared" si="1"/>
        <v>#VALUE!</v>
      </c>
      <c r="M6" t="e">
        <f t="shared" si="1"/>
        <v>#VALUE!</v>
      </c>
      <c r="N6" t="e">
        <f t="shared" si="1"/>
        <v>#VALUE!</v>
      </c>
      <c r="Q6" s="113"/>
      <c r="R6" s="53"/>
      <c r="S6" s="2"/>
      <c r="T6" s="45"/>
    </row>
    <row r="7" spans="1:20" ht="13" x14ac:dyDescent="0.3">
      <c r="A7">
        <v>0.56000000000000005</v>
      </c>
      <c r="B7">
        <f t="shared" ref="B7:B70" si="2">IF(IF((B$3*10^12-$A8)*(B$3*10^12-$A7)*-1&lt;0,0,1)*IF(ABS(B$3*10^12-$A8)&gt;(B$3*10^12-$A7),$A7,$A8)=B8,0,IF((B$3*10^12-$A8)*(B$3*10^12-$A7)*-1&lt;0,0,1)*IF(ABS(B$3*10^12-$A8)&gt;(B$3*10^12-$A7),$A7,$A8))</f>
        <v>0</v>
      </c>
      <c r="C7">
        <f t="shared" ref="C7:C38" si="3">IF(IF((C$3*10^12-$A8)*(C$3*10^12-$A7)*-1&lt;0,0,1)*IF(ABS(C$3*10^12-$A8)&gt;(C$3*10^12-$A7),$A7,$A8)=C8,0,IF((C$3*10^12-$A8)*(C$3*10^12-$A7)*-1&lt;0,0,1)*IF(ABS(C$3*10^12-$A8)&gt;(C$3*10^12-$A7),$A7,$A8))</f>
        <v>0</v>
      </c>
      <c r="D7">
        <f t="shared" ref="D7:D69" si="4">IF(IF((D$3*10^12-$A8)*(D$3*10^12-$A7)*-1&lt;0,0,1)*IF(ABS(D$3*10^12-$A8)&gt;(D$3*10^12-$A7),$A7,$A8)=D8,0,IF((D$3*10^12-$A8)*(D$3*10^12-$A7)*-1&lt;0,0,1)*IF(ABS(D$3*10^12-$A8)&gt;(D$3*10^12-$A7),$A7,$A8))</f>
        <v>0</v>
      </c>
      <c r="E7">
        <f t="shared" ref="E7:E69" si="5">IF(IF((E$3*10^12-$A8)*(E$3*10^12-$A7)*-1&lt;0,0,1)*IF(ABS(E$3*10^12-$A8)&gt;(E$3*10^12-$A7),$A7,$A8)=E8,0,IF((E$3*10^12-$A8)*(E$3*10^12-$A7)*-1&lt;0,0,1)*IF(ABS(E$3*10^12-$A8)&gt;(E$3*10^12-$A7),$A7,$A8))</f>
        <v>0</v>
      </c>
      <c r="F7">
        <f t="shared" ref="F7:F69" si="6">IF(IF((F$3*10^12-$A8)*(F$3*10^12-$A7)*-1&lt;0,0,1)*IF(ABS(F$3*10^12-$A8)&gt;(F$3*10^12-$A7),$A7,$A8)=F8,0,IF((F$3*10^12-$A8)*(F$3*10^12-$A7)*-1&lt;0,0,1)*IF(ABS(F$3*10^12-$A8)&gt;(F$3*10^12-$A7),$A7,$A8))</f>
        <v>0</v>
      </c>
      <c r="G7">
        <f t="shared" ref="G7:N69" si="7">IF(IF((G$3*10^12-$A8)*(G$3*10^12-$A7)*-1&lt;0,0,1)*IF(ABS(G$3*10^12-$A8)&gt;(G$3*10^12-$A7),$A7,$A8)=G8,0,IF((G$3*10^12-$A8)*(G$3*10^12-$A7)*-1&lt;0,0,1)*IF(ABS(G$3*10^12-$A8)&gt;(G$3*10^12-$A7),$A7,$A8))</f>
        <v>0</v>
      </c>
      <c r="H7">
        <f t="shared" si="7"/>
        <v>0</v>
      </c>
      <c r="I7">
        <f t="shared" si="7"/>
        <v>0</v>
      </c>
      <c r="J7">
        <f t="shared" si="7"/>
        <v>0</v>
      </c>
      <c r="K7" t="e">
        <f t="shared" ref="K7:L13" si="8">IF(IF((K$3*10^12-$A8)*(K$3*10^12-$A7)*-1&lt;0,0,1)*IF(ABS(K$3*10^12-$A8)&gt;(K$3*10^12-$A7),$A7,$A8)=K8,0,IF((K$3*10^12-$A8)*(K$3*10^12-$A7)*-1&lt;0,0,1)*IF(ABS(K$3*10^12-$A8)&gt;(K$3*10^12-$A7),$A7,$A8))</f>
        <v>#VALUE!</v>
      </c>
      <c r="L7" t="e">
        <f t="shared" si="8"/>
        <v>#VALUE!</v>
      </c>
      <c r="M7" t="e">
        <f t="shared" si="7"/>
        <v>#VALUE!</v>
      </c>
      <c r="N7" t="e">
        <f t="shared" si="7"/>
        <v>#VALUE!</v>
      </c>
      <c r="Q7" t="s">
        <v>176</v>
      </c>
      <c r="R7">
        <f>Rcea1</f>
        <v>45481.360525950309</v>
      </c>
      <c r="S7" s="2">
        <f>IF(R7&gt;(INT(0.5+100*POWER(10,IF(96*(LOG(R7)-INT(LOG(R7)))-ROUND(96*(LOG(R7)-INT(LOG(R7))),0)&lt;0,ROUND(96*(LOG(R7)-INT(LOG(R7))),0)-1,ROUND(96*(LOG(R7)-INT(LOG(R7))),0))/96))*POWER(10,INT(LOG(R7))-2)+INT(0.5+100*POWER(10,(IF(96*(LOG(R7)-INT(LOG(R7)))-ROUND(96*(LOG(R7)-INT(LOG(R7))),0)&lt;0,ROUND(96*(LOG(R7)-INT(LOG(R7))),0)-1,ROUND(96*(LOG(R7)-INT(LOG(R7))),0))+1)/96))*POWER(10,INT(LOG(R7))-2))/2,INT(0.5+100*POWER(10,(IF(96*(LOG(R7)-INT(LOG(R7)))-ROUND(96*(LOG(R7)-INT(LOG(R7))),0)&lt;0,ROUND(96*(LOG(R7)-INT(LOG(R7))),0)-1,ROUND(96*(LOG(R7)-INT(LOG(R7))),0))+1)/96))*POWER(10,INT(LOG(R7))-2),INT(0.5+100*POWER(10,IF(96*(LOG(R7)-INT(LOG(R7)))-ROUND(96*(LOG(R7)-INT(LOG(R7))),0)&lt;0,ROUND(96*(LOG(R7)-INT(LOG(R7))),0)-1,ROUND(96*(LOG(R7)-INT(LOG(R7))),0))/96))*POWER(10,INT(LOG(R7))-2))</f>
        <v>45300</v>
      </c>
      <c r="T7" s="45" t="s">
        <v>260</v>
      </c>
    </row>
    <row r="8" spans="1:20" ht="13" x14ac:dyDescent="0.3">
      <c r="A8">
        <v>0.68</v>
      </c>
      <c r="B8">
        <f t="shared" si="2"/>
        <v>0</v>
      </c>
      <c r="C8">
        <f t="shared" si="3"/>
        <v>0</v>
      </c>
      <c r="D8">
        <f t="shared" si="4"/>
        <v>0</v>
      </c>
      <c r="E8">
        <f t="shared" si="5"/>
        <v>0</v>
      </c>
      <c r="F8">
        <f t="shared" si="6"/>
        <v>0</v>
      </c>
      <c r="G8">
        <f t="shared" si="7"/>
        <v>0</v>
      </c>
      <c r="H8">
        <f t="shared" si="7"/>
        <v>0</v>
      </c>
      <c r="I8">
        <f t="shared" si="7"/>
        <v>0</v>
      </c>
      <c r="J8">
        <f t="shared" si="7"/>
        <v>0</v>
      </c>
      <c r="K8" t="e">
        <f t="shared" si="8"/>
        <v>#VALUE!</v>
      </c>
      <c r="L8" t="e">
        <f t="shared" si="8"/>
        <v>#VALUE!</v>
      </c>
      <c r="M8" t="e">
        <f t="shared" si="7"/>
        <v>#VALUE!</v>
      </c>
      <c r="N8" t="e">
        <f t="shared" si="7"/>
        <v>#VALUE!</v>
      </c>
      <c r="Q8" t="s">
        <v>176</v>
      </c>
      <c r="R8">
        <f>Rcea2</f>
        <v>0</v>
      </c>
      <c r="S8" s="2" t="e">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#NUM!</v>
      </c>
      <c r="T8" s="45" t="s">
        <v>260</v>
      </c>
    </row>
    <row r="9" spans="1:20" x14ac:dyDescent="0.25">
      <c r="A9">
        <v>0.82</v>
      </c>
      <c r="B9">
        <f t="shared" si="2"/>
        <v>0</v>
      </c>
      <c r="C9">
        <f t="shared" si="3"/>
        <v>0</v>
      </c>
      <c r="D9">
        <f t="shared" si="4"/>
        <v>0</v>
      </c>
      <c r="E9">
        <f t="shared" si="5"/>
        <v>0</v>
      </c>
      <c r="F9">
        <f t="shared" si="6"/>
        <v>0</v>
      </c>
      <c r="G9">
        <f t="shared" si="7"/>
        <v>0</v>
      </c>
      <c r="H9">
        <f t="shared" si="7"/>
        <v>0</v>
      </c>
      <c r="I9">
        <f t="shared" si="7"/>
        <v>0</v>
      </c>
      <c r="J9">
        <f t="shared" si="7"/>
        <v>0</v>
      </c>
      <c r="K9" t="e">
        <f t="shared" si="8"/>
        <v>#VALUE!</v>
      </c>
      <c r="L9" t="e">
        <f t="shared" si="8"/>
        <v>#VALUE!</v>
      </c>
      <c r="M9" t="e">
        <f t="shared" si="7"/>
        <v>#VALUE!</v>
      </c>
      <c r="N9" t="e">
        <f t="shared" si="7"/>
        <v>#VALUE!</v>
      </c>
    </row>
    <row r="10" spans="1:20" ht="13" x14ac:dyDescent="0.3">
      <c r="A10">
        <v>1</v>
      </c>
      <c r="B10">
        <f t="shared" si="2"/>
        <v>0</v>
      </c>
      <c r="C10">
        <f t="shared" si="3"/>
        <v>0</v>
      </c>
      <c r="D10">
        <f t="shared" si="4"/>
        <v>0</v>
      </c>
      <c r="E10">
        <f t="shared" si="5"/>
        <v>0</v>
      </c>
      <c r="F10">
        <f t="shared" si="6"/>
        <v>0</v>
      </c>
      <c r="G10">
        <f t="shared" si="7"/>
        <v>0</v>
      </c>
      <c r="H10">
        <f t="shared" si="7"/>
        <v>0</v>
      </c>
      <c r="I10">
        <f t="shared" si="7"/>
        <v>0</v>
      </c>
      <c r="J10">
        <f t="shared" si="7"/>
        <v>0</v>
      </c>
      <c r="K10" t="e">
        <f t="shared" si="8"/>
        <v>#VALUE!</v>
      </c>
      <c r="L10" t="e">
        <f t="shared" si="8"/>
        <v>#VALUE!</v>
      </c>
      <c r="M10" t="e">
        <f t="shared" si="7"/>
        <v>#VALUE!</v>
      </c>
      <c r="N10" t="e">
        <f t="shared" si="7"/>
        <v>#VALUE!</v>
      </c>
      <c r="Q10" t="s">
        <v>29</v>
      </c>
      <c r="R10">
        <f>Rfb1_</f>
        <v>2500000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2490000</v>
      </c>
      <c r="T10" s="45" t="s">
        <v>260</v>
      </c>
    </row>
    <row r="11" spans="1:20" ht="13" x14ac:dyDescent="0.3">
      <c r="A11">
        <v>1.2</v>
      </c>
      <c r="B11">
        <f t="shared" si="2"/>
        <v>0</v>
      </c>
      <c r="C11">
        <f t="shared" si="3"/>
        <v>0</v>
      </c>
      <c r="D11">
        <f t="shared" si="4"/>
        <v>0</v>
      </c>
      <c r="E11">
        <f t="shared" si="5"/>
        <v>0</v>
      </c>
      <c r="F11">
        <f t="shared" si="6"/>
        <v>0</v>
      </c>
      <c r="G11">
        <f t="shared" si="7"/>
        <v>0</v>
      </c>
      <c r="H11">
        <f t="shared" si="7"/>
        <v>0</v>
      </c>
      <c r="I11">
        <f t="shared" si="7"/>
        <v>0</v>
      </c>
      <c r="J11">
        <f t="shared" si="7"/>
        <v>0</v>
      </c>
      <c r="K11" t="e">
        <f t="shared" si="8"/>
        <v>#VALUE!</v>
      </c>
      <c r="L11" t="e">
        <f t="shared" si="8"/>
        <v>#VALUE!</v>
      </c>
      <c r="M11" t="e">
        <f t="shared" ref="M11:N26" si="9">IF(IF((M$3*10^12-$A12)*(M$3*10^12-$A11)*-1&lt;0,0,1)*IF(ABS(M$3*10^12-$A12)&gt;(M$3*10^12-$A11),$A11,$A12)=M12,0,IF((M$3*10^12-$A12)*(M$3*10^12-$A11)*-1&lt;0,0,1)*IF(ABS(M$3*10^12-$A12)&gt;(M$3*10^12-$A11),$A11,$A12))</f>
        <v>#VALUE!</v>
      </c>
      <c r="N11" t="e">
        <f t="shared" si="9"/>
        <v>#VALUE!</v>
      </c>
      <c r="Q11" t="s">
        <v>40</v>
      </c>
      <c r="R11" s="48">
        <f>Rfb2_</f>
        <v>800000</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806000</v>
      </c>
      <c r="T11" s="45" t="s">
        <v>260</v>
      </c>
    </row>
    <row r="12" spans="1:20" ht="13" x14ac:dyDescent="0.3">
      <c r="A12">
        <v>1.5</v>
      </c>
      <c r="B12">
        <f t="shared" si="2"/>
        <v>0</v>
      </c>
      <c r="C12">
        <f t="shared" si="3"/>
        <v>0</v>
      </c>
      <c r="D12">
        <f t="shared" si="4"/>
        <v>0</v>
      </c>
      <c r="E12">
        <f t="shared" si="5"/>
        <v>0</v>
      </c>
      <c r="F12">
        <f t="shared" si="6"/>
        <v>0</v>
      </c>
      <c r="G12">
        <f t="shared" si="7"/>
        <v>0</v>
      </c>
      <c r="H12">
        <f t="shared" si="7"/>
        <v>0</v>
      </c>
      <c r="I12">
        <f t="shared" si="7"/>
        <v>0</v>
      </c>
      <c r="J12">
        <f t="shared" si="7"/>
        <v>0</v>
      </c>
      <c r="K12" t="e">
        <f t="shared" si="8"/>
        <v>#VALUE!</v>
      </c>
      <c r="L12" t="e">
        <f t="shared" si="8"/>
        <v>#VALUE!</v>
      </c>
      <c r="M12" t="e">
        <f t="shared" si="9"/>
        <v>#VALUE!</v>
      </c>
      <c r="N12" t="e">
        <f t="shared" si="9"/>
        <v>#VALUE!</v>
      </c>
      <c r="Q12" s="113" t="s">
        <v>750</v>
      </c>
      <c r="R12" s="299">
        <f>'Variable Management'!B27*1000</f>
        <v>53699.934266745549</v>
      </c>
      <c r="S12" s="2">
        <f>IF(R12&gt;(INT(0.5+100*POWER(10,IF(96*(LOG(R12)-INT(LOG(R12)))-ROUND(96*(LOG(R12)-INT(LOG(R12))),0)&lt;0,ROUND(96*(LOG(R12)-INT(LOG(R12))),0)-1,ROUND(96*(LOG(R12)-INT(LOG(R12))),0))/96))*POWER(10,INT(LOG(R12))-2)+INT(0.5+100*POWER(10,(IF(96*(LOG(R12)-INT(LOG(R12)))-ROUND(96*(LOG(R12)-INT(LOG(R12))),0)&lt;0,ROUND(96*(LOG(R12)-INT(LOG(R12))),0)-1,ROUND(96*(LOG(R12)-INT(LOG(R12))),0))+1)/96))*POWER(10,INT(LOG(R12))-2))/2,INT(0.5+100*POWER(10,(IF(96*(LOG(R12)-INT(LOG(R12)))-ROUND(96*(LOG(R12)-INT(LOG(R12))),0)&lt;0,ROUND(96*(LOG(R12)-INT(LOG(R12))),0)-1,ROUND(96*(LOG(R12)-INT(LOG(R12))),0))+1)/96))*POWER(10,INT(LOG(R12))-2),INT(0.5+100*POWER(10,IF(96*(LOG(R12)-INT(LOG(R12)))-ROUND(96*(LOG(R12)-INT(LOG(R12))),0)&lt;0,ROUND(96*(LOG(R12)-INT(LOG(R12))),0)-1,ROUND(96*(LOG(R12)-INT(LOG(R12))),0))/96))*POWER(10,INT(LOG(R12))-2))</f>
        <v>53600</v>
      </c>
      <c r="T12" s="45" t="s">
        <v>260</v>
      </c>
    </row>
    <row r="13" spans="1:20" ht="13" x14ac:dyDescent="0.3">
      <c r="A13">
        <v>1.8</v>
      </c>
      <c r="B13">
        <f t="shared" si="2"/>
        <v>0</v>
      </c>
      <c r="C13">
        <f t="shared" si="3"/>
        <v>0</v>
      </c>
      <c r="D13">
        <f t="shared" si="4"/>
        <v>0</v>
      </c>
      <c r="E13">
        <f t="shared" si="5"/>
        <v>0</v>
      </c>
      <c r="F13">
        <f t="shared" si="6"/>
        <v>0</v>
      </c>
      <c r="G13">
        <f t="shared" si="7"/>
        <v>0</v>
      </c>
      <c r="H13">
        <f t="shared" si="7"/>
        <v>0</v>
      </c>
      <c r="I13">
        <f t="shared" si="7"/>
        <v>0</v>
      </c>
      <c r="J13">
        <f t="shared" si="7"/>
        <v>0</v>
      </c>
      <c r="K13" t="e">
        <f t="shared" si="8"/>
        <v>#VALUE!</v>
      </c>
      <c r="L13" t="e">
        <f t="shared" si="8"/>
        <v>#VALUE!</v>
      </c>
      <c r="M13" t="e">
        <f t="shared" si="9"/>
        <v>#VALUE!</v>
      </c>
      <c r="N13" t="e">
        <f t="shared" si="9"/>
        <v>#VALUE!</v>
      </c>
      <c r="Q13" s="113" t="s">
        <v>832</v>
      </c>
      <c r="R13" s="48">
        <f>'Variable Management'!B28*1000</f>
        <v>0</v>
      </c>
      <c r="S13" s="2" t="e">
        <f>IF(R13="OPEN","OPEN",IF(R13&gt;(INT(0.5+100*POWER(10,IF(96*(LOG(R13)-INT(LOG(R13)))-ROUND(96*(LOG(R13)-INT(LOG(R13))),0)&lt;0,ROUND(96*(LOG(R13)-INT(LOG(R13))),0)-1,ROUND(96*(LOG(R13)-INT(LOG(R13))),0))/96))*POWER(10,INT(LOG(R13))-2)+INT(0.5+100*POWER(10,(IF(96*(LOG(R13)-INT(LOG(R13)))-ROUND(96*(LOG(R13)-INT(LOG(R13))),0)&lt;0,ROUND(96*(LOG(R13)-INT(LOG(R13))),0)-1,ROUND(96*(LOG(R13)-INT(LOG(R13))),0))+1)/96))*POWER(10,INT(LOG(R13))-2))/2,INT(0.5+100*POWER(10,(IF(96*(LOG(R13)-INT(LOG(R13)))-ROUND(96*(LOG(R13)-INT(LOG(R13))),0)&lt;0,ROUND(96*(LOG(R13)-INT(LOG(R13))),0)-1,ROUND(96*(LOG(R13)-INT(LOG(R13))),0))+1)/96))*POWER(10,INT(LOG(R13))-2),INT(0.5+100*POWER(10,IF(96*(LOG(R13)-INT(LOG(R13)))-ROUND(96*(LOG(R13)-INT(LOG(R13))),0)&lt;0,ROUND(96*(LOG(R13)-INT(LOG(R13))),0)-1,ROUND(96*(LOG(R13)-INT(LOG(R13))),0))/96))*POWER(10,INT(LOG(R13))-2)))</f>
        <v>#NUM!</v>
      </c>
      <c r="T13" s="45" t="s">
        <v>260</v>
      </c>
    </row>
    <row r="14" spans="1:20" ht="13" x14ac:dyDescent="0.3">
      <c r="A14">
        <v>2.2000000000000002</v>
      </c>
      <c r="B14">
        <f t="shared" ref="B14:N14" si="10">IF(IF((B$3*10^12-$A15)*(B$3*10^12-$A14)*-1&lt;0,0,1)*IF(ABS(B$3*10^12-$A15)&gt;(B$3*10^12-$A14),$A14,$A15)=B15,0,IF((B$3*10^12-$A15)*(B$3*10^12-$A14)*-1&lt;0,0,1)*IF(ABS(B$3*10^12-$A15)&gt;(B$3*10^12-$A14),$A14,$A15))</f>
        <v>0</v>
      </c>
      <c r="C14">
        <f t="shared" si="10"/>
        <v>0</v>
      </c>
      <c r="D14">
        <f t="shared" si="10"/>
        <v>0</v>
      </c>
      <c r="E14">
        <f t="shared" si="10"/>
        <v>0</v>
      </c>
      <c r="F14">
        <f t="shared" si="10"/>
        <v>0</v>
      </c>
      <c r="G14">
        <f t="shared" si="10"/>
        <v>0</v>
      </c>
      <c r="H14">
        <f t="shared" si="10"/>
        <v>0</v>
      </c>
      <c r="I14">
        <f t="shared" si="10"/>
        <v>0</v>
      </c>
      <c r="J14">
        <f t="shared" si="10"/>
        <v>0</v>
      </c>
      <c r="K14" t="e">
        <f t="shared" si="10"/>
        <v>#VALUE!</v>
      </c>
      <c r="L14" t="e">
        <f t="shared" si="10"/>
        <v>#VALUE!</v>
      </c>
      <c r="M14" t="e">
        <f t="shared" si="10"/>
        <v>#VALUE!</v>
      </c>
      <c r="N14" t="e">
        <f t="shared" si="10"/>
        <v>#VALUE!</v>
      </c>
      <c r="Q14" s="113" t="s">
        <v>908</v>
      </c>
      <c r="R14">
        <f>'Variable Management'!B301</f>
        <v>0.15055453054181619</v>
      </c>
      <c r="S14" s="2">
        <f>IF(R14="OPEN","OPEN",IF(R14&gt;(INT(0.5+100*POWER(10,IF(96*(LOG(R14)-INT(LOG(R14)))-ROUND(96*(LOG(R14)-INT(LOG(R14))),0)&lt;0,ROUND(96*(LOG(R14)-INT(LOG(R14))),0)-1,ROUND(96*(LOG(R14)-INT(LOG(R14))),0))/96))*POWER(10,INT(LOG(R14))-2)+INT(0.5+100*POWER(10,(IF(96*(LOG(R14)-INT(LOG(R14)))-ROUND(96*(LOG(R14)-INT(LOG(R14))),0)&lt;0,ROUND(96*(LOG(R14)-INT(LOG(R14))),0)-1,ROUND(96*(LOG(R14)-INT(LOG(R14))),0))+1)/96))*POWER(10,INT(LOG(R14))-2))/2,INT(0.5+100*POWER(10,(IF(96*(LOG(R14)-INT(LOG(R14)))-ROUND(96*(LOG(R14)-INT(LOG(R14))),0)&lt;0,ROUND(96*(LOG(R14)-INT(LOG(R14))),0)-1,ROUND(96*(LOG(R14)-INT(LOG(R14))),0))+1)/96))*POWER(10,INT(LOG(R14))-2),INT(0.5+100*POWER(10,IF(96*(LOG(R14)-INT(LOG(R14)))-ROUND(96*(LOG(R14)-INT(LOG(R14))),0)&lt;0,ROUND(96*(LOG(R14)-INT(LOG(R14))),0)-1,ROUND(96*(LOG(R14)-INT(LOG(R14))),0))/96))*POWER(10,INT(LOG(R14))-2)))</f>
        <v>0.15</v>
      </c>
      <c r="T14" s="45" t="s">
        <v>138</v>
      </c>
    </row>
    <row r="15" spans="1:20" x14ac:dyDescent="0.25">
      <c r="A15">
        <v>2.7</v>
      </c>
      <c r="B15">
        <f t="shared" si="2"/>
        <v>0</v>
      </c>
      <c r="C15">
        <f t="shared" si="3"/>
        <v>0</v>
      </c>
      <c r="D15">
        <f t="shared" si="4"/>
        <v>0</v>
      </c>
      <c r="E15">
        <f t="shared" si="5"/>
        <v>0</v>
      </c>
      <c r="F15">
        <f t="shared" si="6"/>
        <v>0</v>
      </c>
      <c r="G15">
        <f t="shared" si="7"/>
        <v>0</v>
      </c>
      <c r="H15">
        <f t="shared" si="7"/>
        <v>0</v>
      </c>
      <c r="I15">
        <f t="shared" si="7"/>
        <v>0</v>
      </c>
      <c r="J15">
        <f t="shared" si="7"/>
        <v>0</v>
      </c>
      <c r="K15" t="e">
        <f t="shared" ref="K15:L21" si="11">IF(IF((K$3*10^12-$A16)*(K$3*10^12-$A15)*-1&lt;0,0,1)*IF(ABS(K$3*10^12-$A16)&gt;(K$3*10^12-$A15),$A15,$A16)=K16,0,IF((K$3*10^12-$A16)*(K$3*10^12-$A15)*-1&lt;0,0,1)*IF(ABS(K$3*10^12-$A16)&gt;(K$3*10^12-$A15),$A15,$A16))</f>
        <v>#VALUE!</v>
      </c>
      <c r="L15" t="e">
        <f t="shared" si="11"/>
        <v>#VALUE!</v>
      </c>
      <c r="M15" t="e">
        <f t="shared" si="9"/>
        <v>#VALUE!</v>
      </c>
      <c r="N15" t="e">
        <f t="shared" si="9"/>
        <v>#VALUE!</v>
      </c>
    </row>
    <row r="16" spans="1:20" ht="13" x14ac:dyDescent="0.3">
      <c r="A16">
        <v>3.3</v>
      </c>
      <c r="B16">
        <f t="shared" si="2"/>
        <v>0</v>
      </c>
      <c r="C16">
        <f t="shared" si="3"/>
        <v>0</v>
      </c>
      <c r="D16">
        <f t="shared" si="4"/>
        <v>0</v>
      </c>
      <c r="E16">
        <f t="shared" si="5"/>
        <v>0</v>
      </c>
      <c r="F16">
        <f t="shared" si="6"/>
        <v>0</v>
      </c>
      <c r="G16">
        <f t="shared" si="7"/>
        <v>0</v>
      </c>
      <c r="H16">
        <f t="shared" si="7"/>
        <v>0</v>
      </c>
      <c r="I16">
        <f t="shared" si="7"/>
        <v>0</v>
      </c>
      <c r="J16">
        <f t="shared" si="7"/>
        <v>0</v>
      </c>
      <c r="K16" t="e">
        <f t="shared" si="11"/>
        <v>#VALUE!</v>
      </c>
      <c r="L16" t="e">
        <f t="shared" si="11"/>
        <v>#VALUE!</v>
      </c>
      <c r="M16" t="e">
        <f t="shared" si="9"/>
        <v>#VALUE!</v>
      </c>
      <c r="N16" t="e">
        <f t="shared" si="9"/>
        <v>#VALUE!</v>
      </c>
      <c r="Q16" s="113" t="s">
        <v>164</v>
      </c>
      <c r="R16" s="348">
        <f>Rs_ideal*1000</f>
        <v>74.88534581828219</v>
      </c>
      <c r="S16" s="2">
        <f>IF(R16=0,0,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45" t="s">
        <v>305</v>
      </c>
    </row>
    <row r="17" spans="1:20" x14ac:dyDescent="0.25">
      <c r="A17">
        <v>3.9</v>
      </c>
      <c r="B17">
        <f t="shared" si="2"/>
        <v>0</v>
      </c>
      <c r="C17">
        <f t="shared" si="3"/>
        <v>0</v>
      </c>
      <c r="D17">
        <f t="shared" si="4"/>
        <v>0</v>
      </c>
      <c r="E17">
        <f t="shared" si="5"/>
        <v>0</v>
      </c>
      <c r="F17">
        <f t="shared" si="6"/>
        <v>0</v>
      </c>
      <c r="G17">
        <f t="shared" si="7"/>
        <v>0</v>
      </c>
      <c r="H17">
        <f t="shared" si="7"/>
        <v>0</v>
      </c>
      <c r="I17">
        <f t="shared" si="7"/>
        <v>0</v>
      </c>
      <c r="J17">
        <f t="shared" si="7"/>
        <v>0</v>
      </c>
      <c r="K17" t="e">
        <f t="shared" si="11"/>
        <v>#VALUE!</v>
      </c>
      <c r="L17" t="e">
        <f t="shared" si="11"/>
        <v>#VALUE!</v>
      </c>
      <c r="M17" t="e">
        <f t="shared" si="9"/>
        <v>#VALUE!</v>
      </c>
      <c r="N17" t="e">
        <f t="shared" si="9"/>
        <v>#VALUE!</v>
      </c>
      <c r="Q17" s="113" t="s">
        <v>630</v>
      </c>
      <c r="R17">
        <f>Cres</f>
        <v>3.3333333333333335E-7</v>
      </c>
      <c r="S17">
        <f>G4*1000000000000</f>
        <v>330000</v>
      </c>
      <c r="T17" s="113" t="s">
        <v>30</v>
      </c>
    </row>
    <row r="18" spans="1:20" x14ac:dyDescent="0.25">
      <c r="A18">
        <v>4.7</v>
      </c>
      <c r="B18">
        <f t="shared" si="2"/>
        <v>0</v>
      </c>
      <c r="C18">
        <f t="shared" si="3"/>
        <v>0</v>
      </c>
      <c r="D18">
        <f t="shared" si="4"/>
        <v>0</v>
      </c>
      <c r="E18">
        <f t="shared" si="5"/>
        <v>0</v>
      </c>
      <c r="F18">
        <f t="shared" si="6"/>
        <v>0</v>
      </c>
      <c r="G18">
        <f t="shared" si="7"/>
        <v>0</v>
      </c>
      <c r="H18">
        <f t="shared" si="7"/>
        <v>0</v>
      </c>
      <c r="I18">
        <f t="shared" si="7"/>
        <v>0</v>
      </c>
      <c r="J18">
        <f t="shared" si="7"/>
        <v>0</v>
      </c>
      <c r="K18" t="e">
        <f t="shared" si="11"/>
        <v>#VALUE!</v>
      </c>
      <c r="L18" t="e">
        <f t="shared" si="11"/>
        <v>#VALUE!</v>
      </c>
      <c r="M18" t="e">
        <f t="shared" si="9"/>
        <v>#VALUE!</v>
      </c>
      <c r="N18" t="e">
        <f t="shared" si="9"/>
        <v>#VALUE!</v>
      </c>
    </row>
    <row r="19" spans="1:20" ht="13" x14ac:dyDescent="0.3">
      <c r="A19">
        <v>5.6</v>
      </c>
      <c r="B19">
        <f t="shared" si="2"/>
        <v>0</v>
      </c>
      <c r="C19">
        <f t="shared" si="3"/>
        <v>0</v>
      </c>
      <c r="D19">
        <f t="shared" si="4"/>
        <v>0</v>
      </c>
      <c r="E19">
        <f t="shared" si="5"/>
        <v>0</v>
      </c>
      <c r="F19">
        <f t="shared" si="6"/>
        <v>0</v>
      </c>
      <c r="G19">
        <f t="shared" si="7"/>
        <v>0</v>
      </c>
      <c r="H19">
        <f t="shared" si="7"/>
        <v>0</v>
      </c>
      <c r="I19">
        <f t="shared" si="7"/>
        <v>0</v>
      </c>
      <c r="J19">
        <f t="shared" si="7"/>
        <v>0</v>
      </c>
      <c r="K19" t="e">
        <f t="shared" si="11"/>
        <v>#VALUE!</v>
      </c>
      <c r="L19" t="e">
        <f t="shared" si="11"/>
        <v>#VALUE!</v>
      </c>
      <c r="M19" t="e">
        <f t="shared" si="9"/>
        <v>#VALUE!</v>
      </c>
      <c r="N19" t="e">
        <f t="shared" si="9"/>
        <v>#VALUE!</v>
      </c>
      <c r="Q19" s="113"/>
      <c r="S19" s="2"/>
      <c r="T19" s="45"/>
    </row>
    <row r="20" spans="1:20" ht="13" x14ac:dyDescent="0.3">
      <c r="A20">
        <v>6.8</v>
      </c>
      <c r="B20">
        <f t="shared" si="2"/>
        <v>0</v>
      </c>
      <c r="C20">
        <f t="shared" si="3"/>
        <v>0</v>
      </c>
      <c r="D20">
        <f t="shared" si="4"/>
        <v>0</v>
      </c>
      <c r="E20">
        <f t="shared" si="5"/>
        <v>0</v>
      </c>
      <c r="F20">
        <f t="shared" si="6"/>
        <v>0</v>
      </c>
      <c r="G20">
        <f t="shared" si="7"/>
        <v>0</v>
      </c>
      <c r="H20">
        <f t="shared" si="7"/>
        <v>0</v>
      </c>
      <c r="I20">
        <f t="shared" si="7"/>
        <v>0</v>
      </c>
      <c r="J20">
        <f t="shared" si="7"/>
        <v>0</v>
      </c>
      <c r="K20" t="e">
        <f t="shared" si="11"/>
        <v>#VALUE!</v>
      </c>
      <c r="L20" t="e">
        <f t="shared" si="11"/>
        <v>#VALUE!</v>
      </c>
      <c r="M20" t="e">
        <f t="shared" si="9"/>
        <v>#VALUE!</v>
      </c>
      <c r="N20" t="e">
        <f t="shared" si="9"/>
        <v>#VALUE!</v>
      </c>
      <c r="Q20" s="113"/>
      <c r="S20" s="2"/>
      <c r="T20" s="45"/>
    </row>
    <row r="21" spans="1:20" ht="13" x14ac:dyDescent="0.3">
      <c r="A21">
        <v>8.1999999999999993</v>
      </c>
      <c r="B21">
        <f t="shared" si="2"/>
        <v>0</v>
      </c>
      <c r="C21">
        <f t="shared" si="3"/>
        <v>0</v>
      </c>
      <c r="D21">
        <f t="shared" si="4"/>
        <v>0</v>
      </c>
      <c r="E21">
        <f t="shared" si="5"/>
        <v>0</v>
      </c>
      <c r="F21">
        <f t="shared" si="6"/>
        <v>0</v>
      </c>
      <c r="G21">
        <f t="shared" si="7"/>
        <v>0</v>
      </c>
      <c r="H21">
        <f t="shared" si="7"/>
        <v>0</v>
      </c>
      <c r="I21">
        <f t="shared" si="7"/>
        <v>0</v>
      </c>
      <c r="J21">
        <f t="shared" si="7"/>
        <v>0</v>
      </c>
      <c r="K21" t="e">
        <f t="shared" si="11"/>
        <v>#VALUE!</v>
      </c>
      <c r="L21" t="e">
        <f t="shared" si="11"/>
        <v>#VALUE!</v>
      </c>
      <c r="M21" t="e">
        <f t="shared" si="9"/>
        <v>#VALUE!</v>
      </c>
      <c r="N21" t="e">
        <f t="shared" si="9"/>
        <v>#VALUE!</v>
      </c>
      <c r="Q21" s="113" t="s">
        <v>310</v>
      </c>
      <c r="R21">
        <f>Cdither_init</f>
        <v>2.0226537216828479E-9</v>
      </c>
      <c r="S21" s="2">
        <f>H4</f>
        <v>2.1999999999999998E-9</v>
      </c>
    </row>
    <row r="22" spans="1:20" x14ac:dyDescent="0.25">
      <c r="A22">
        <v>10</v>
      </c>
      <c r="B22">
        <f t="shared" si="2"/>
        <v>0</v>
      </c>
      <c r="C22">
        <f t="shared" si="3"/>
        <v>0</v>
      </c>
      <c r="D22">
        <f t="shared" si="4"/>
        <v>0</v>
      </c>
      <c r="E22">
        <f t="shared" si="5"/>
        <v>0</v>
      </c>
      <c r="F22">
        <f t="shared" si="6"/>
        <v>0</v>
      </c>
      <c r="G22">
        <f t="shared" si="7"/>
        <v>0</v>
      </c>
      <c r="H22">
        <f t="shared" si="7"/>
        <v>0</v>
      </c>
      <c r="I22">
        <f t="shared" si="7"/>
        <v>0</v>
      </c>
      <c r="J22">
        <f t="shared" si="7"/>
        <v>0</v>
      </c>
      <c r="K22" t="e">
        <f t="shared" ref="K22:L84" si="12">IF(IF((K$3*10^12-$A23)*(K$3*10^12-$A22)*-1&lt;0,0,1)*IF(ABS(K$3*10^12-$A23)&gt;(K$3*10^12-$A22),$A22,$A23)=K23,0,IF((K$3*10^12-$A23)*(K$3*10^12-$A22)*-1&lt;0,0,1)*IF(ABS(K$3*10^12-$A23)&gt;(K$3*10^12-$A22),$A22,$A23))</f>
        <v>#VALUE!</v>
      </c>
      <c r="L22" t="e">
        <f t="shared" si="12"/>
        <v>#VALUE!</v>
      </c>
      <c r="M22" t="e">
        <f t="shared" si="9"/>
        <v>#VALUE!</v>
      </c>
      <c r="N22" t="e">
        <f t="shared" si="9"/>
        <v>#VALUE!</v>
      </c>
    </row>
    <row r="23" spans="1:20" ht="13" x14ac:dyDescent="0.3">
      <c r="A23">
        <v>12</v>
      </c>
      <c r="B23">
        <f t="shared" si="2"/>
        <v>0</v>
      </c>
      <c r="C23">
        <f t="shared" si="3"/>
        <v>0</v>
      </c>
      <c r="D23">
        <f t="shared" si="4"/>
        <v>0</v>
      </c>
      <c r="E23">
        <f t="shared" si="5"/>
        <v>0</v>
      </c>
      <c r="F23">
        <f t="shared" si="6"/>
        <v>0</v>
      </c>
      <c r="G23">
        <f t="shared" si="7"/>
        <v>0</v>
      </c>
      <c r="H23">
        <f t="shared" si="7"/>
        <v>0</v>
      </c>
      <c r="I23">
        <f t="shared" si="7"/>
        <v>0</v>
      </c>
      <c r="J23">
        <f t="shared" si="7"/>
        <v>0</v>
      </c>
      <c r="K23" t="e">
        <f t="shared" si="12"/>
        <v>#VALUE!</v>
      </c>
      <c r="L23" t="e">
        <f t="shared" si="12"/>
        <v>#VALUE!</v>
      </c>
      <c r="M23" t="e">
        <f t="shared" si="9"/>
        <v>#VALUE!</v>
      </c>
      <c r="N23" t="e">
        <f t="shared" si="9"/>
        <v>#VALUE!</v>
      </c>
      <c r="Q23" s="113" t="s">
        <v>798</v>
      </c>
      <c r="R23" t="e">
        <f>K4</f>
        <v>#VALUE!</v>
      </c>
      <c r="S23" s="2" t="e">
        <f>R23*1000000</f>
        <v>#VALUE!</v>
      </c>
      <c r="T23" s="113" t="s">
        <v>23</v>
      </c>
    </row>
    <row r="24" spans="1:20" ht="13" x14ac:dyDescent="0.3">
      <c r="A24">
        <v>15</v>
      </c>
      <c r="B24">
        <f t="shared" si="2"/>
        <v>0</v>
      </c>
      <c r="C24">
        <f t="shared" si="3"/>
        <v>0</v>
      </c>
      <c r="D24">
        <f t="shared" si="4"/>
        <v>0</v>
      </c>
      <c r="E24">
        <f t="shared" si="5"/>
        <v>0</v>
      </c>
      <c r="F24">
        <f t="shared" si="6"/>
        <v>0</v>
      </c>
      <c r="G24">
        <f t="shared" si="7"/>
        <v>0</v>
      </c>
      <c r="H24">
        <f t="shared" si="7"/>
        <v>0</v>
      </c>
      <c r="I24">
        <f t="shared" si="7"/>
        <v>0</v>
      </c>
      <c r="J24">
        <f t="shared" si="7"/>
        <v>0</v>
      </c>
      <c r="K24" t="e">
        <f t="shared" si="12"/>
        <v>#VALUE!</v>
      </c>
      <c r="L24" t="e">
        <f t="shared" si="12"/>
        <v>#VALUE!</v>
      </c>
      <c r="M24" t="e">
        <f t="shared" si="9"/>
        <v>#VALUE!</v>
      </c>
      <c r="N24" t="e">
        <f t="shared" si="9"/>
        <v>#VALUE!</v>
      </c>
      <c r="Q24" s="113" t="s">
        <v>765</v>
      </c>
      <c r="R24" s="300" t="e">
        <f>Cinj_AEF</f>
        <v>#VALUE!</v>
      </c>
      <c r="S24" s="2" t="e">
        <f>M4*1000000</f>
        <v>#VALUE!</v>
      </c>
      <c r="T24" t="s">
        <v>23</v>
      </c>
    </row>
    <row r="25" spans="1:20" x14ac:dyDescent="0.25">
      <c r="A25">
        <v>18</v>
      </c>
      <c r="B25">
        <f t="shared" si="2"/>
        <v>0</v>
      </c>
      <c r="C25">
        <f t="shared" si="3"/>
        <v>0</v>
      </c>
      <c r="D25">
        <f t="shared" si="4"/>
        <v>0</v>
      </c>
      <c r="E25">
        <f t="shared" si="5"/>
        <v>0</v>
      </c>
      <c r="F25">
        <f t="shared" si="6"/>
        <v>0</v>
      </c>
      <c r="G25">
        <f t="shared" si="7"/>
        <v>0</v>
      </c>
      <c r="H25">
        <f t="shared" si="7"/>
        <v>0</v>
      </c>
      <c r="I25">
        <f t="shared" si="7"/>
        <v>0</v>
      </c>
      <c r="J25">
        <f t="shared" si="7"/>
        <v>0</v>
      </c>
      <c r="K25" t="e">
        <f t="shared" si="12"/>
        <v>#VALUE!</v>
      </c>
      <c r="L25" t="e">
        <f t="shared" si="12"/>
        <v>#VALUE!</v>
      </c>
      <c r="M25" t="e">
        <f t="shared" si="9"/>
        <v>#VALUE!</v>
      </c>
      <c r="N25" t="e">
        <f t="shared" si="9"/>
        <v>#VALUE!</v>
      </c>
      <c r="Q25" t="s">
        <v>769</v>
      </c>
      <c r="R25" s="348" t="e">
        <f>'Variable Management'!B295</f>
        <v>#VALUE!</v>
      </c>
      <c r="S25" t="e">
        <f>N4*1000000</f>
        <v>#VALUE!</v>
      </c>
      <c r="T25" t="s">
        <v>23</v>
      </c>
    </row>
    <row r="26" spans="1:20" ht="13" x14ac:dyDescent="0.3">
      <c r="A26">
        <v>22</v>
      </c>
      <c r="B26">
        <f t="shared" si="2"/>
        <v>0</v>
      </c>
      <c r="C26">
        <f t="shared" si="3"/>
        <v>0</v>
      </c>
      <c r="D26">
        <f t="shared" si="4"/>
        <v>0</v>
      </c>
      <c r="E26">
        <f t="shared" si="5"/>
        <v>0</v>
      </c>
      <c r="F26">
        <f t="shared" si="6"/>
        <v>0</v>
      </c>
      <c r="G26">
        <f t="shared" si="7"/>
        <v>0</v>
      </c>
      <c r="H26">
        <f t="shared" si="7"/>
        <v>0</v>
      </c>
      <c r="I26">
        <f t="shared" si="7"/>
        <v>0</v>
      </c>
      <c r="J26">
        <f t="shared" si="7"/>
        <v>0</v>
      </c>
      <c r="K26" t="e">
        <f t="shared" si="12"/>
        <v>#VALUE!</v>
      </c>
      <c r="L26" t="e">
        <f t="shared" si="12"/>
        <v>#VALUE!</v>
      </c>
      <c r="M26" t="e">
        <f t="shared" si="9"/>
        <v>#VALUE!</v>
      </c>
      <c r="N26" t="e">
        <f t="shared" si="9"/>
        <v>#VALUE!</v>
      </c>
      <c r="Q26" s="113" t="s">
        <v>766</v>
      </c>
      <c r="R26" s="348" t="e">
        <f>'Variable Management'!B296</f>
        <v>#VALUE!</v>
      </c>
      <c r="S26" s="2" t="e">
        <f>IF(R26="OPEN","OPEN",IF(R26&gt;(INT(0.5+100*POWER(10,IF(96*(LOG(R26)-INT(LOG(R26)))-ROUND(96*(LOG(R26)-INT(LOG(R26))),0)&lt;0,ROUND(96*(LOG(R26)-INT(LOG(R26))),0)-1,ROUND(96*(LOG(R26)-INT(LOG(R26))),0))/96))*POWER(10,INT(LOG(R26))-2)+INT(0.5+100*POWER(10,(IF(96*(LOG(R26)-INT(LOG(R26)))-ROUND(96*(LOG(R26)-INT(LOG(R26))),0)&lt;0,ROUND(96*(LOG(R26)-INT(LOG(R26))),0)-1,ROUND(96*(LOG(R26)-INT(LOG(R26))),0))+1)/96))*POWER(10,INT(LOG(R26))-2))/2,INT(0.5+100*POWER(10,(IF(96*(LOG(R26)-INT(LOG(R26)))-ROUND(96*(LOG(R26)-INT(LOG(R26))),0)&lt;0,ROUND(96*(LOG(R26)-INT(LOG(R26))),0)-1,ROUND(96*(LOG(R26)-INT(LOG(R26))),0))+1)/96))*POWER(10,INT(LOG(R26))-2),INT(0.5+100*POWER(10,IF(96*(LOG(R26)-INT(LOG(R26)))-ROUND(96*(LOG(R26)-INT(LOG(R26))),0)&lt;0,ROUND(96*(LOG(R26)-INT(LOG(R26))),0)-1,ROUND(96*(LOG(R26)-INT(LOG(R26))),0))/96))*POWER(10,INT(LOG(R26))-2)))</f>
        <v>#VALUE!</v>
      </c>
      <c r="T26" s="45" t="s">
        <v>260</v>
      </c>
    </row>
    <row r="27" spans="1:20" ht="13" x14ac:dyDescent="0.3">
      <c r="A27">
        <v>27</v>
      </c>
      <c r="B27">
        <f t="shared" si="2"/>
        <v>0</v>
      </c>
      <c r="C27">
        <f t="shared" si="3"/>
        <v>0</v>
      </c>
      <c r="D27">
        <f t="shared" si="4"/>
        <v>0</v>
      </c>
      <c r="E27">
        <f t="shared" si="5"/>
        <v>0</v>
      </c>
      <c r="F27">
        <f t="shared" si="6"/>
        <v>0</v>
      </c>
      <c r="G27">
        <f t="shared" si="7"/>
        <v>0</v>
      </c>
      <c r="H27">
        <f t="shared" si="7"/>
        <v>0</v>
      </c>
      <c r="I27">
        <f t="shared" si="7"/>
        <v>0</v>
      </c>
      <c r="J27">
        <f t="shared" si="7"/>
        <v>0</v>
      </c>
      <c r="K27" t="e">
        <f t="shared" si="12"/>
        <v>#VALUE!</v>
      </c>
      <c r="L27" t="e">
        <f t="shared" si="12"/>
        <v>#VALUE!</v>
      </c>
      <c r="M27" t="e">
        <f t="shared" ref="M27:N42" si="13">IF(IF((M$3*10^12-$A28)*(M$3*10^12-$A27)*-1&lt;0,0,1)*IF(ABS(M$3*10^12-$A28)&gt;(M$3*10^12-$A27),$A27,$A28)=M28,0,IF((M$3*10^12-$A28)*(M$3*10^12-$A27)*-1&lt;0,0,1)*IF(ABS(M$3*10^12-$A28)&gt;(M$3*10^12-$A27),$A27,$A28))</f>
        <v>#VALUE!</v>
      </c>
      <c r="N27" t="e">
        <f t="shared" si="13"/>
        <v>#VALUE!</v>
      </c>
      <c r="Q27" s="113" t="s">
        <v>799</v>
      </c>
      <c r="R27" t="e">
        <f>SQRT(L_infilterStd/K4)</f>
        <v>#VALUE!</v>
      </c>
      <c r="S27" s="2" t="e">
        <f>IF(R27="OPEN","OPEN",IF(R27&gt;(INT(0.5+100*POWER(10,IF(96*(LOG(R27)-INT(LOG(R27)))-ROUND(96*(LOG(R27)-INT(LOG(R27))),0)&lt;0,ROUND(96*(LOG(R27)-INT(LOG(R27))),0)-1,ROUND(96*(LOG(R27)-INT(LOG(R27))),0))/96))*POWER(10,INT(LOG(R27))-2)+INT(0.5+100*POWER(10,(IF(96*(LOG(R27)-INT(LOG(R27)))-ROUND(96*(LOG(R27)-INT(LOG(R27))),0)&lt;0,ROUND(96*(LOG(R27)-INT(LOG(R27))),0)-1,ROUND(96*(LOG(R27)-INT(LOG(R27))),0))+1)/96))*POWER(10,INT(LOG(R27))-2))/2,INT(0.5+100*POWER(10,(IF(96*(LOG(R27)-INT(LOG(R27)))-ROUND(96*(LOG(R27)-INT(LOG(R27))),0)&lt;0,ROUND(96*(LOG(R27)-INT(LOG(R27))),0)-1,ROUND(96*(LOG(R27)-INT(LOG(R27))),0))+1)/96))*POWER(10,INT(LOG(R27))-2),INT(0.5+100*POWER(10,IF(96*(LOG(R27)-INT(LOG(R27)))-ROUND(96*(LOG(R27)-INT(LOG(R27))),0)&lt;0,ROUND(96*(LOG(R27)-INT(LOG(R27))),0)-1,ROUND(96*(LOG(R27)-INT(LOG(R27))),0))/96))*POWER(10,INT(LOG(R27))-2)))</f>
        <v>#VALUE!</v>
      </c>
      <c r="T27" s="45" t="s">
        <v>260</v>
      </c>
    </row>
    <row r="28" spans="1:20" x14ac:dyDescent="0.25">
      <c r="A28">
        <v>33</v>
      </c>
      <c r="B28">
        <f t="shared" si="2"/>
        <v>0</v>
      </c>
      <c r="C28">
        <f t="shared" si="3"/>
        <v>0</v>
      </c>
      <c r="D28">
        <f t="shared" si="4"/>
        <v>0</v>
      </c>
      <c r="E28">
        <f t="shared" si="5"/>
        <v>0</v>
      </c>
      <c r="F28">
        <f t="shared" si="6"/>
        <v>0</v>
      </c>
      <c r="G28">
        <f t="shared" si="7"/>
        <v>0</v>
      </c>
      <c r="H28">
        <f t="shared" si="7"/>
        <v>0</v>
      </c>
      <c r="I28">
        <f t="shared" si="7"/>
        <v>0</v>
      </c>
      <c r="J28">
        <f t="shared" si="7"/>
        <v>0</v>
      </c>
      <c r="K28" t="e">
        <f t="shared" si="12"/>
        <v>#VALUE!</v>
      </c>
      <c r="L28" t="e">
        <f t="shared" si="12"/>
        <v>#VALUE!</v>
      </c>
      <c r="M28" t="e">
        <f t="shared" si="13"/>
        <v>#VALUE!</v>
      </c>
      <c r="N28" t="e">
        <f t="shared" si="13"/>
        <v>#VALUE!</v>
      </c>
      <c r="Q28" s="113" t="s">
        <v>801</v>
      </c>
      <c r="R28" t="e">
        <f>L4</f>
        <v>#VALUE!</v>
      </c>
      <c r="S28" t="e">
        <f>R28*1000000</f>
        <v>#VALUE!</v>
      </c>
      <c r="T28" t="s">
        <v>23</v>
      </c>
    </row>
    <row r="29" spans="1:20" x14ac:dyDescent="0.25">
      <c r="A29">
        <v>39</v>
      </c>
      <c r="B29">
        <f t="shared" si="2"/>
        <v>0</v>
      </c>
      <c r="C29">
        <f t="shared" si="3"/>
        <v>0</v>
      </c>
      <c r="D29">
        <f t="shared" si="4"/>
        <v>0</v>
      </c>
      <c r="E29">
        <f t="shared" si="5"/>
        <v>0</v>
      </c>
      <c r="F29">
        <f t="shared" si="6"/>
        <v>0</v>
      </c>
      <c r="G29">
        <f t="shared" si="7"/>
        <v>0</v>
      </c>
      <c r="H29">
        <f t="shared" si="7"/>
        <v>0</v>
      </c>
      <c r="I29">
        <f t="shared" si="7"/>
        <v>0</v>
      </c>
      <c r="J29">
        <f t="shared" si="7"/>
        <v>0</v>
      </c>
      <c r="K29" t="e">
        <f t="shared" si="12"/>
        <v>#VALUE!</v>
      </c>
      <c r="L29" t="e">
        <f t="shared" si="12"/>
        <v>#VALUE!</v>
      </c>
      <c r="M29" t="e">
        <f t="shared" si="13"/>
        <v>#VALUE!</v>
      </c>
      <c r="N29" t="e">
        <f t="shared" si="13"/>
        <v>#VALUE!</v>
      </c>
      <c r="Q29" s="113"/>
    </row>
    <row r="30" spans="1:20" x14ac:dyDescent="0.25">
      <c r="A30">
        <v>47</v>
      </c>
      <c r="B30">
        <f t="shared" si="2"/>
        <v>0</v>
      </c>
      <c r="C30">
        <f t="shared" si="3"/>
        <v>0</v>
      </c>
      <c r="D30">
        <f t="shared" si="4"/>
        <v>0</v>
      </c>
      <c r="E30">
        <f t="shared" si="5"/>
        <v>0</v>
      </c>
      <c r="F30">
        <f t="shared" si="6"/>
        <v>0</v>
      </c>
      <c r="G30">
        <f t="shared" si="7"/>
        <v>0</v>
      </c>
      <c r="H30">
        <f t="shared" si="7"/>
        <v>0</v>
      </c>
      <c r="I30">
        <f t="shared" si="7"/>
        <v>0</v>
      </c>
      <c r="J30">
        <f t="shared" si="7"/>
        <v>0</v>
      </c>
      <c r="K30" t="e">
        <f t="shared" si="12"/>
        <v>#VALUE!</v>
      </c>
      <c r="L30" t="e">
        <f t="shared" si="12"/>
        <v>#VALUE!</v>
      </c>
      <c r="M30" t="e">
        <f t="shared" si="13"/>
        <v>#VALUE!</v>
      </c>
      <c r="N30" t="e">
        <f t="shared" si="13"/>
        <v>#VALUE!</v>
      </c>
    </row>
    <row r="31" spans="1:20" x14ac:dyDescent="0.25">
      <c r="A31">
        <v>56</v>
      </c>
      <c r="B31">
        <f t="shared" si="2"/>
        <v>0</v>
      </c>
      <c r="C31">
        <f t="shared" si="3"/>
        <v>0</v>
      </c>
      <c r="D31">
        <f t="shared" si="4"/>
        <v>0</v>
      </c>
      <c r="E31">
        <f t="shared" si="5"/>
        <v>0</v>
      </c>
      <c r="F31">
        <f t="shared" si="6"/>
        <v>0</v>
      </c>
      <c r="G31">
        <f t="shared" si="7"/>
        <v>0</v>
      </c>
      <c r="H31">
        <f t="shared" si="7"/>
        <v>0</v>
      </c>
      <c r="I31">
        <f t="shared" si="7"/>
        <v>0</v>
      </c>
      <c r="J31">
        <f t="shared" si="7"/>
        <v>0</v>
      </c>
      <c r="K31" t="e">
        <f t="shared" si="12"/>
        <v>#VALUE!</v>
      </c>
      <c r="L31" t="e">
        <f t="shared" si="12"/>
        <v>#VALUE!</v>
      </c>
      <c r="M31" t="e">
        <f t="shared" si="13"/>
        <v>#VALUE!</v>
      </c>
      <c r="N31" t="e">
        <f t="shared" si="13"/>
        <v>#VALUE!</v>
      </c>
    </row>
    <row r="32" spans="1:20" ht="13" x14ac:dyDescent="0.3">
      <c r="A32">
        <v>68</v>
      </c>
      <c r="B32">
        <f t="shared" si="2"/>
        <v>0</v>
      </c>
      <c r="C32">
        <f t="shared" si="3"/>
        <v>0</v>
      </c>
      <c r="D32">
        <f t="shared" si="4"/>
        <v>0</v>
      </c>
      <c r="E32">
        <f t="shared" si="5"/>
        <v>0</v>
      </c>
      <c r="F32">
        <f t="shared" si="6"/>
        <v>0</v>
      </c>
      <c r="G32">
        <f t="shared" si="7"/>
        <v>0</v>
      </c>
      <c r="H32">
        <f t="shared" si="7"/>
        <v>0</v>
      </c>
      <c r="I32">
        <f t="shared" si="7"/>
        <v>0</v>
      </c>
      <c r="J32">
        <f t="shared" si="7"/>
        <v>0</v>
      </c>
      <c r="K32" t="e">
        <f t="shared" si="12"/>
        <v>#VALUE!</v>
      </c>
      <c r="L32" t="e">
        <f t="shared" si="12"/>
        <v>#VALUE!</v>
      </c>
      <c r="M32" t="e">
        <f t="shared" si="13"/>
        <v>#VALUE!</v>
      </c>
      <c r="N32" t="e">
        <f t="shared" si="13"/>
        <v>#VALUE!</v>
      </c>
      <c r="Q32" s="3" t="s">
        <v>168</v>
      </c>
      <c r="R32" t="str">
        <f>S7/1000&amp;" kΩ"</f>
        <v>45.3 kΩ</v>
      </c>
      <c r="S32">
        <f>S7/1000</f>
        <v>45.3</v>
      </c>
      <c r="T32" s="45" t="s">
        <v>237</v>
      </c>
    </row>
    <row r="33" spans="1:20" x14ac:dyDescent="0.25">
      <c r="A33">
        <v>82</v>
      </c>
      <c r="B33">
        <f t="shared" si="2"/>
        <v>0</v>
      </c>
      <c r="C33">
        <f t="shared" si="3"/>
        <v>0</v>
      </c>
      <c r="D33">
        <f t="shared" si="4"/>
        <v>0</v>
      </c>
      <c r="E33">
        <f t="shared" si="5"/>
        <v>0</v>
      </c>
      <c r="F33">
        <f t="shared" si="6"/>
        <v>0</v>
      </c>
      <c r="G33">
        <f t="shared" si="7"/>
        <v>0</v>
      </c>
      <c r="H33">
        <f t="shared" si="7"/>
        <v>0</v>
      </c>
      <c r="I33">
        <f t="shared" si="7"/>
        <v>0</v>
      </c>
      <c r="J33">
        <f t="shared" si="7"/>
        <v>0</v>
      </c>
      <c r="K33" t="e">
        <f t="shared" si="12"/>
        <v>#VALUE!</v>
      </c>
      <c r="L33" t="e">
        <f t="shared" si="12"/>
        <v>#VALUE!</v>
      </c>
      <c r="M33" t="e">
        <f t="shared" si="13"/>
        <v>#VALUE!</v>
      </c>
      <c r="N33" t="e">
        <f t="shared" si="13"/>
        <v>#VALUE!</v>
      </c>
      <c r="Q33" s="3" t="s">
        <v>166</v>
      </c>
      <c r="R33" t="str">
        <f>C4*1000000000&amp;" nF"</f>
        <v>0.82 nF</v>
      </c>
      <c r="S33">
        <f>C4*1000000000</f>
        <v>0.82</v>
      </c>
      <c r="T33" s="113" t="s">
        <v>141</v>
      </c>
    </row>
    <row r="34" spans="1:20" x14ac:dyDescent="0.25">
      <c r="A34">
        <f>A22*10</f>
        <v>100</v>
      </c>
      <c r="B34">
        <f t="shared" si="2"/>
        <v>0</v>
      </c>
      <c r="C34">
        <f t="shared" si="3"/>
        <v>0</v>
      </c>
      <c r="D34">
        <f t="shared" si="4"/>
        <v>0</v>
      </c>
      <c r="E34">
        <f t="shared" si="5"/>
        <v>0</v>
      </c>
      <c r="F34">
        <f t="shared" si="6"/>
        <v>0</v>
      </c>
      <c r="G34">
        <f t="shared" si="7"/>
        <v>0</v>
      </c>
      <c r="H34">
        <f t="shared" si="7"/>
        <v>0</v>
      </c>
      <c r="I34">
        <f t="shared" si="7"/>
        <v>0</v>
      </c>
      <c r="J34">
        <f t="shared" si="7"/>
        <v>0</v>
      </c>
      <c r="K34" t="e">
        <f t="shared" si="12"/>
        <v>#VALUE!</v>
      </c>
      <c r="L34" t="e">
        <f t="shared" si="12"/>
        <v>#VALUE!</v>
      </c>
      <c r="M34" t="e">
        <f t="shared" si="13"/>
        <v>#VALUE!</v>
      </c>
      <c r="N34" t="e">
        <f t="shared" si="13"/>
        <v>#VALUE!</v>
      </c>
      <c r="Q34" s="3" t="s">
        <v>167</v>
      </c>
      <c r="R34" t="str">
        <f>D4*1000000000000&amp;" pF"</f>
        <v>0 pF</v>
      </c>
      <c r="S34">
        <f>D4*1000000000000</f>
        <v>0</v>
      </c>
      <c r="T34" s="113" t="s">
        <v>30</v>
      </c>
    </row>
    <row r="35" spans="1:20" ht="13" x14ac:dyDescent="0.3">
      <c r="A35">
        <f t="shared" ref="A35:A98" si="14">A23*10</f>
        <v>120</v>
      </c>
      <c r="B35">
        <f t="shared" si="2"/>
        <v>0</v>
      </c>
      <c r="C35">
        <f t="shared" si="3"/>
        <v>0</v>
      </c>
      <c r="D35">
        <f t="shared" si="4"/>
        <v>0</v>
      </c>
      <c r="E35">
        <f t="shared" si="5"/>
        <v>0</v>
      </c>
      <c r="F35">
        <f t="shared" si="6"/>
        <v>0</v>
      </c>
      <c r="G35">
        <f t="shared" si="7"/>
        <v>0</v>
      </c>
      <c r="H35">
        <f t="shared" si="7"/>
        <v>0</v>
      </c>
      <c r="I35">
        <f t="shared" si="7"/>
        <v>0</v>
      </c>
      <c r="J35">
        <f t="shared" si="7"/>
        <v>0</v>
      </c>
      <c r="K35" t="e">
        <f t="shared" si="12"/>
        <v>#VALUE!</v>
      </c>
      <c r="L35" t="e">
        <f t="shared" si="12"/>
        <v>#VALUE!</v>
      </c>
      <c r="M35" t="e">
        <f t="shared" si="13"/>
        <v>#VALUE!</v>
      </c>
      <c r="N35" t="e">
        <f t="shared" si="13"/>
        <v>#VALUE!</v>
      </c>
      <c r="Q35" s="3"/>
      <c r="T35" s="45"/>
    </row>
    <row r="36" spans="1:20" ht="13" x14ac:dyDescent="0.3">
      <c r="A36">
        <f t="shared" si="14"/>
        <v>150</v>
      </c>
      <c r="B36">
        <f t="shared" si="2"/>
        <v>0</v>
      </c>
      <c r="C36">
        <f t="shared" si="3"/>
        <v>0</v>
      </c>
      <c r="D36">
        <f t="shared" si="4"/>
        <v>0</v>
      </c>
      <c r="E36">
        <f t="shared" si="5"/>
        <v>0</v>
      </c>
      <c r="F36">
        <f t="shared" si="6"/>
        <v>0</v>
      </c>
      <c r="G36">
        <f t="shared" si="7"/>
        <v>0</v>
      </c>
      <c r="H36">
        <f t="shared" si="7"/>
        <v>0</v>
      </c>
      <c r="I36">
        <f t="shared" si="7"/>
        <v>0</v>
      </c>
      <c r="J36">
        <f t="shared" si="7"/>
        <v>0</v>
      </c>
      <c r="K36" t="e">
        <f t="shared" si="12"/>
        <v>#VALUE!</v>
      </c>
      <c r="L36" t="e">
        <f t="shared" si="12"/>
        <v>#VALUE!</v>
      </c>
      <c r="M36" t="e">
        <f t="shared" si="13"/>
        <v>#VALUE!</v>
      </c>
      <c r="N36" t="e">
        <f t="shared" si="13"/>
        <v>#VALUE!</v>
      </c>
      <c r="Q36" s="113" t="s">
        <v>658</v>
      </c>
      <c r="R36" t="e">
        <f>S8/1000&amp;" kΩ"</f>
        <v>#NUM!</v>
      </c>
      <c r="S36" t="e">
        <f>S8/1000</f>
        <v>#NUM!</v>
      </c>
      <c r="T36" s="45" t="s">
        <v>237</v>
      </c>
    </row>
    <row r="37" spans="1:20" x14ac:dyDescent="0.25">
      <c r="A37">
        <f t="shared" si="14"/>
        <v>180</v>
      </c>
      <c r="B37">
        <f t="shared" si="2"/>
        <v>0</v>
      </c>
      <c r="C37">
        <f t="shared" si="3"/>
        <v>0</v>
      </c>
      <c r="D37">
        <f t="shared" si="4"/>
        <v>0</v>
      </c>
      <c r="E37">
        <f t="shared" si="5"/>
        <v>0</v>
      </c>
      <c r="F37">
        <f t="shared" si="6"/>
        <v>0</v>
      </c>
      <c r="G37">
        <f t="shared" si="7"/>
        <v>0</v>
      </c>
      <c r="H37">
        <f t="shared" si="7"/>
        <v>0</v>
      </c>
      <c r="I37">
        <f t="shared" si="7"/>
        <v>0</v>
      </c>
      <c r="J37">
        <f t="shared" si="7"/>
        <v>0</v>
      </c>
      <c r="K37" t="e">
        <f t="shared" si="12"/>
        <v>#VALUE!</v>
      </c>
      <c r="L37" t="e">
        <f t="shared" si="12"/>
        <v>#VALUE!</v>
      </c>
      <c r="M37" t="e">
        <f t="shared" si="13"/>
        <v>#VALUE!</v>
      </c>
      <c r="N37" t="e">
        <f t="shared" si="13"/>
        <v>#VALUE!</v>
      </c>
      <c r="Q37" s="113" t="s">
        <v>659</v>
      </c>
      <c r="R37" t="str">
        <f>I4*1000000000&amp;" nF"</f>
        <v>0 nF</v>
      </c>
      <c r="S37">
        <f>I4*1000000000</f>
        <v>0</v>
      </c>
      <c r="T37" s="113" t="s">
        <v>141</v>
      </c>
    </row>
    <row r="38" spans="1:20" x14ac:dyDescent="0.25">
      <c r="A38">
        <f t="shared" si="14"/>
        <v>220</v>
      </c>
      <c r="B38">
        <f t="shared" si="2"/>
        <v>0</v>
      </c>
      <c r="C38">
        <f t="shared" si="3"/>
        <v>0</v>
      </c>
      <c r="D38">
        <f t="shared" si="4"/>
        <v>0</v>
      </c>
      <c r="E38">
        <f t="shared" si="5"/>
        <v>0</v>
      </c>
      <c r="F38">
        <f t="shared" si="6"/>
        <v>0</v>
      </c>
      <c r="G38">
        <f t="shared" si="7"/>
        <v>0</v>
      </c>
      <c r="H38">
        <f t="shared" si="7"/>
        <v>0</v>
      </c>
      <c r="I38">
        <f t="shared" si="7"/>
        <v>0</v>
      </c>
      <c r="J38">
        <f t="shared" si="7"/>
        <v>0</v>
      </c>
      <c r="K38" t="e">
        <f t="shared" si="12"/>
        <v>#VALUE!</v>
      </c>
      <c r="L38" t="e">
        <f t="shared" si="12"/>
        <v>#VALUE!</v>
      </c>
      <c r="M38" t="e">
        <f t="shared" si="13"/>
        <v>#VALUE!</v>
      </c>
      <c r="N38" t="e">
        <f t="shared" si="13"/>
        <v>#VALUE!</v>
      </c>
      <c r="Q38" s="113" t="s">
        <v>660</v>
      </c>
      <c r="R38" t="str">
        <f>J4*1000000000000&amp;" pF"</f>
        <v>0 pF</v>
      </c>
      <c r="S38">
        <f>J4*1000000000000</f>
        <v>0</v>
      </c>
      <c r="T38" s="113" t="s">
        <v>30</v>
      </c>
    </row>
    <row r="39" spans="1:20" x14ac:dyDescent="0.25">
      <c r="A39">
        <f t="shared" si="14"/>
        <v>270</v>
      </c>
      <c r="B39">
        <f t="shared" si="2"/>
        <v>0</v>
      </c>
      <c r="C39">
        <f t="shared" ref="C39:C70" si="15">IF(IF((C$3*10^12-$A40)*(C$3*10^12-$A39)*-1&lt;0,0,1)*IF(ABS(C$3*10^12-$A40)&gt;(C$3*10^12-$A39),$A39,$A40)=C40,0,IF((C$3*10^12-$A40)*(C$3*10^12-$A39)*-1&lt;0,0,1)*IF(ABS(C$3*10^12-$A40)&gt;(C$3*10^12-$A39),$A39,$A40))</f>
        <v>0</v>
      </c>
      <c r="D39">
        <f t="shared" si="4"/>
        <v>0</v>
      </c>
      <c r="E39">
        <f t="shared" si="5"/>
        <v>0</v>
      </c>
      <c r="F39">
        <f t="shared" si="6"/>
        <v>0</v>
      </c>
      <c r="G39">
        <f t="shared" si="7"/>
        <v>0</v>
      </c>
      <c r="H39">
        <f t="shared" si="7"/>
        <v>0</v>
      </c>
      <c r="I39">
        <f t="shared" si="7"/>
        <v>0</v>
      </c>
      <c r="J39">
        <f t="shared" si="7"/>
        <v>0</v>
      </c>
      <c r="K39" t="e">
        <f t="shared" si="12"/>
        <v>#VALUE!</v>
      </c>
      <c r="L39" t="e">
        <f t="shared" si="12"/>
        <v>#VALUE!</v>
      </c>
      <c r="M39" t="e">
        <f t="shared" si="13"/>
        <v>#VALUE!</v>
      </c>
      <c r="N39" t="e">
        <f t="shared" si="13"/>
        <v>#VALUE!</v>
      </c>
    </row>
    <row r="40" spans="1:20" ht="13" x14ac:dyDescent="0.3">
      <c r="A40">
        <f t="shared" si="14"/>
        <v>330</v>
      </c>
      <c r="B40">
        <f t="shared" si="2"/>
        <v>0</v>
      </c>
      <c r="C40">
        <f t="shared" si="15"/>
        <v>0</v>
      </c>
      <c r="D40">
        <f t="shared" si="4"/>
        <v>0</v>
      </c>
      <c r="E40">
        <f t="shared" si="5"/>
        <v>0</v>
      </c>
      <c r="F40">
        <f t="shared" si="6"/>
        <v>0</v>
      </c>
      <c r="G40">
        <f t="shared" si="7"/>
        <v>0</v>
      </c>
      <c r="H40">
        <f t="shared" si="7"/>
        <v>0</v>
      </c>
      <c r="I40">
        <f t="shared" si="7"/>
        <v>0</v>
      </c>
      <c r="J40">
        <f t="shared" si="7"/>
        <v>0</v>
      </c>
      <c r="K40" t="e">
        <f t="shared" si="12"/>
        <v>#VALUE!</v>
      </c>
      <c r="L40" t="e">
        <f t="shared" si="12"/>
        <v>#VALUE!</v>
      </c>
      <c r="M40" t="e">
        <f t="shared" si="13"/>
        <v>#VALUE!</v>
      </c>
      <c r="N40" t="e">
        <f t="shared" si="13"/>
        <v>#VALUE!</v>
      </c>
      <c r="Q40" s="113" t="s">
        <v>867</v>
      </c>
      <c r="R40" s="4">
        <f>'Variable Management'!B186/1000</f>
        <v>199.99999999999997</v>
      </c>
      <c r="S40" s="2">
        <f>IF(R40&gt;(INT(0.5+100*POWER(10,IF(96*(LOG(R40)-INT(LOG(R40)))-ROUND(96*(LOG(R40)-INT(LOG(R40))),0)&lt;0,ROUND(96*(LOG(R40)-INT(LOG(R40))),0)-1,ROUND(96*(LOG(R40)-INT(LOG(R40))),0))/96))*POWER(10,INT(LOG(R40))-2)+INT(0.5+100*POWER(10,(IF(96*(LOG(R40)-INT(LOG(R40)))-ROUND(96*(LOG(R40)-INT(LOG(R40))),0)&lt;0,ROUND(96*(LOG(R40)-INT(LOG(R40))),0)-1,ROUND(96*(LOG(R40)-INT(LOG(R40))),0))+1)/96))*POWER(10,INT(LOG(R40))-2))/2,INT(0.5+100*POWER(10,(IF(96*(LOG(R40)-INT(LOG(R40)))-ROUND(96*(LOG(R40)-INT(LOG(R40))),0)&lt;0,ROUND(96*(LOG(R40)-INT(LOG(R40))),0)-1,ROUND(96*(LOG(R40)-INT(LOG(R40))),0))+1)/96))*POWER(10,INT(LOG(R40))-2),INT(0.5+100*POWER(10,IF(96*(LOG(R40)-INT(LOG(R40)))-ROUND(96*(LOG(R40)-INT(LOG(R40))),0)&lt;0,ROUND(96*(LOG(R40)-INT(LOG(R40))),0)-1,ROUND(96*(LOG(R40)-INT(LOG(R40))),0))/96))*POWER(10,INT(LOG(R40))-2))</f>
        <v>200</v>
      </c>
      <c r="T40" s="45" t="s">
        <v>237</v>
      </c>
    </row>
    <row r="41" spans="1:20" ht="13" x14ac:dyDescent="0.3">
      <c r="A41">
        <f t="shared" si="14"/>
        <v>390</v>
      </c>
      <c r="B41">
        <f t="shared" si="2"/>
        <v>0</v>
      </c>
      <c r="C41">
        <f t="shared" si="15"/>
        <v>0</v>
      </c>
      <c r="D41">
        <f t="shared" si="4"/>
        <v>0</v>
      </c>
      <c r="E41">
        <f t="shared" si="5"/>
        <v>0</v>
      </c>
      <c r="F41">
        <f t="shared" si="6"/>
        <v>0</v>
      </c>
      <c r="G41">
        <f t="shared" si="7"/>
        <v>0</v>
      </c>
      <c r="H41">
        <f t="shared" si="7"/>
        <v>0</v>
      </c>
      <c r="I41">
        <f t="shared" si="7"/>
        <v>0</v>
      </c>
      <c r="J41">
        <f t="shared" si="7"/>
        <v>0</v>
      </c>
      <c r="K41" t="e">
        <f t="shared" si="12"/>
        <v>#VALUE!</v>
      </c>
      <c r="L41" t="e">
        <f t="shared" si="12"/>
        <v>#VALUE!</v>
      </c>
      <c r="M41" t="e">
        <f t="shared" si="13"/>
        <v>#VALUE!</v>
      </c>
      <c r="N41" t="e">
        <f t="shared" si="13"/>
        <v>#VALUE!</v>
      </c>
      <c r="Q41" s="113" t="s">
        <v>868</v>
      </c>
      <c r="R41">
        <f>'Variable Management'!B187/1000</f>
        <v>9.5238095238095237</v>
      </c>
      <c r="S41" s="2">
        <f>IF(R41&gt;(INT(0.5+100*POWER(10,IF(96*(LOG(R41)-INT(LOG(R41)))-ROUND(96*(LOG(R41)-INT(LOG(R41))),0)&lt;0,ROUND(96*(LOG(R41)-INT(LOG(R41))),0)-1,ROUND(96*(LOG(R41)-INT(LOG(R41))),0))/96))*POWER(10,INT(LOG(R41))-2)+INT(0.5+100*POWER(10,(IF(96*(LOG(R41)-INT(LOG(R41)))-ROUND(96*(LOG(R41)-INT(LOG(R41))),0)&lt;0,ROUND(96*(LOG(R41)-INT(LOG(R41))),0)-1,ROUND(96*(LOG(R41)-INT(LOG(R41))),0))+1)/96))*POWER(10,INT(LOG(R41))-2))/2,INT(0.5+100*POWER(10,(IF(96*(LOG(R41)-INT(LOG(R41)))-ROUND(96*(LOG(R41)-INT(LOG(R41))),0)&lt;0,ROUND(96*(LOG(R41)-INT(LOG(R41))),0)-1,ROUND(96*(LOG(R41)-INT(LOG(R41))),0))+1)/96))*POWER(10,INT(LOG(R41))-2),INT(0.5+100*POWER(10,IF(96*(LOG(R41)-INT(LOG(R41)))-ROUND(96*(LOG(R41)-INT(LOG(R41))),0)&lt;0,ROUND(96*(LOG(R41)-INT(LOG(R41))),0)-1,ROUND(96*(LOG(R41)-INT(LOG(R41))),0))/96))*POWER(10,INT(LOG(R41))-2))</f>
        <v>9.5299999999999994</v>
      </c>
      <c r="T41" s="45" t="s">
        <v>237</v>
      </c>
    </row>
    <row r="42" spans="1:20" x14ac:dyDescent="0.25">
      <c r="A42">
        <f t="shared" si="14"/>
        <v>470</v>
      </c>
      <c r="B42">
        <f t="shared" si="2"/>
        <v>0</v>
      </c>
      <c r="C42">
        <f t="shared" si="15"/>
        <v>0</v>
      </c>
      <c r="D42">
        <f t="shared" si="4"/>
        <v>0</v>
      </c>
      <c r="E42">
        <f t="shared" si="5"/>
        <v>0</v>
      </c>
      <c r="F42">
        <f t="shared" si="6"/>
        <v>0</v>
      </c>
      <c r="G42">
        <f t="shared" si="7"/>
        <v>0</v>
      </c>
      <c r="H42">
        <f t="shared" si="7"/>
        <v>0</v>
      </c>
      <c r="I42">
        <f t="shared" si="7"/>
        <v>0</v>
      </c>
      <c r="J42">
        <f t="shared" si="7"/>
        <v>0</v>
      </c>
      <c r="K42" t="e">
        <f t="shared" si="12"/>
        <v>#VALUE!</v>
      </c>
      <c r="L42" t="e">
        <f t="shared" si="12"/>
        <v>#VALUE!</v>
      </c>
      <c r="M42" t="e">
        <f t="shared" si="13"/>
        <v>#VALUE!</v>
      </c>
      <c r="N42" t="e">
        <f t="shared" si="13"/>
        <v>#VALUE!</v>
      </c>
    </row>
    <row r="43" spans="1:20" x14ac:dyDescent="0.25">
      <c r="A43">
        <f t="shared" si="14"/>
        <v>560</v>
      </c>
      <c r="B43">
        <f t="shared" si="2"/>
        <v>0</v>
      </c>
      <c r="C43">
        <f t="shared" si="15"/>
        <v>0</v>
      </c>
      <c r="D43">
        <f t="shared" si="4"/>
        <v>0</v>
      </c>
      <c r="E43">
        <f t="shared" si="5"/>
        <v>0</v>
      </c>
      <c r="F43">
        <f t="shared" si="6"/>
        <v>0</v>
      </c>
      <c r="G43">
        <f t="shared" si="7"/>
        <v>0</v>
      </c>
      <c r="H43">
        <f t="shared" si="7"/>
        <v>0</v>
      </c>
      <c r="I43">
        <f t="shared" si="7"/>
        <v>0</v>
      </c>
      <c r="J43">
        <f t="shared" si="7"/>
        <v>0</v>
      </c>
      <c r="K43" t="e">
        <f t="shared" si="12"/>
        <v>#VALUE!</v>
      </c>
      <c r="L43" t="e">
        <f t="shared" si="12"/>
        <v>#VALUE!</v>
      </c>
      <c r="M43" t="e">
        <f t="shared" ref="M43:N58" si="16">IF(IF((M$3*10^12-$A44)*(M$3*10^12-$A43)*-1&lt;0,0,1)*IF(ABS(M$3*10^12-$A44)&gt;(M$3*10^12-$A43),$A43,$A44)=M44,0,IF((M$3*10^12-$A44)*(M$3*10^12-$A43)*-1&lt;0,0,1)*IF(ABS(M$3*10^12-$A44)&gt;(M$3*10^12-$A43),$A43,$A44))</f>
        <v>#VALUE!</v>
      </c>
      <c r="N43" t="e">
        <f t="shared" si="16"/>
        <v>#VALUE!</v>
      </c>
    </row>
    <row r="44" spans="1:20" x14ac:dyDescent="0.25">
      <c r="A44">
        <f t="shared" si="14"/>
        <v>680</v>
      </c>
      <c r="B44">
        <f t="shared" si="2"/>
        <v>0</v>
      </c>
      <c r="C44">
        <f t="shared" si="15"/>
        <v>0</v>
      </c>
      <c r="D44">
        <f t="shared" si="4"/>
        <v>0</v>
      </c>
      <c r="E44">
        <f t="shared" si="5"/>
        <v>0</v>
      </c>
      <c r="F44">
        <f t="shared" si="6"/>
        <v>0</v>
      </c>
      <c r="G44">
        <f t="shared" si="7"/>
        <v>0</v>
      </c>
      <c r="H44">
        <f t="shared" si="7"/>
        <v>0</v>
      </c>
      <c r="I44">
        <f t="shared" si="7"/>
        <v>0</v>
      </c>
      <c r="J44">
        <f t="shared" si="7"/>
        <v>0</v>
      </c>
      <c r="K44" t="e">
        <f t="shared" si="12"/>
        <v>#VALUE!</v>
      </c>
      <c r="L44" t="e">
        <f t="shared" si="12"/>
        <v>#VALUE!</v>
      </c>
      <c r="M44" t="e">
        <f t="shared" si="16"/>
        <v>#VALUE!</v>
      </c>
      <c r="N44" t="e">
        <f t="shared" si="16"/>
        <v>#VALUE!</v>
      </c>
    </row>
    <row r="45" spans="1:20" x14ac:dyDescent="0.25">
      <c r="A45">
        <f>A33*10</f>
        <v>820</v>
      </c>
      <c r="B45">
        <f t="shared" si="2"/>
        <v>0</v>
      </c>
      <c r="C45">
        <f t="shared" si="15"/>
        <v>820</v>
      </c>
      <c r="D45">
        <f t="shared" si="4"/>
        <v>0</v>
      </c>
      <c r="E45">
        <f t="shared" si="5"/>
        <v>0</v>
      </c>
      <c r="F45">
        <f t="shared" si="6"/>
        <v>0</v>
      </c>
      <c r="G45">
        <f t="shared" si="7"/>
        <v>0</v>
      </c>
      <c r="H45">
        <f t="shared" si="7"/>
        <v>0</v>
      </c>
      <c r="I45">
        <f t="shared" si="7"/>
        <v>0</v>
      </c>
      <c r="J45">
        <f t="shared" si="7"/>
        <v>0</v>
      </c>
      <c r="K45" t="e">
        <f t="shared" si="12"/>
        <v>#VALUE!</v>
      </c>
      <c r="L45" t="e">
        <f t="shared" si="12"/>
        <v>#VALUE!</v>
      </c>
      <c r="M45" t="e">
        <f t="shared" si="16"/>
        <v>#VALUE!</v>
      </c>
      <c r="N45" t="e">
        <f t="shared" si="16"/>
        <v>#VALUE!</v>
      </c>
    </row>
    <row r="46" spans="1:20" x14ac:dyDescent="0.25">
      <c r="A46">
        <f t="shared" si="14"/>
        <v>1000</v>
      </c>
      <c r="B46">
        <f t="shared" si="2"/>
        <v>0</v>
      </c>
      <c r="C46">
        <f t="shared" si="15"/>
        <v>0</v>
      </c>
      <c r="D46">
        <f t="shared" si="4"/>
        <v>0</v>
      </c>
      <c r="E46">
        <f t="shared" si="5"/>
        <v>0</v>
      </c>
      <c r="F46">
        <f t="shared" si="6"/>
        <v>0</v>
      </c>
      <c r="G46">
        <f t="shared" si="7"/>
        <v>0</v>
      </c>
      <c r="H46">
        <f t="shared" si="7"/>
        <v>0</v>
      </c>
      <c r="I46">
        <f t="shared" si="7"/>
        <v>0</v>
      </c>
      <c r="J46">
        <f t="shared" si="7"/>
        <v>0</v>
      </c>
      <c r="K46" t="e">
        <f t="shared" si="12"/>
        <v>#VALUE!</v>
      </c>
      <c r="L46" t="e">
        <f t="shared" si="12"/>
        <v>#VALUE!</v>
      </c>
      <c r="M46" t="e">
        <f t="shared" si="16"/>
        <v>#VALUE!</v>
      </c>
      <c r="N46" t="e">
        <f t="shared" si="16"/>
        <v>#VALUE!</v>
      </c>
    </row>
    <row r="47" spans="1:20" x14ac:dyDescent="0.25">
      <c r="A47">
        <f t="shared" si="14"/>
        <v>1200</v>
      </c>
      <c r="B47">
        <f t="shared" si="2"/>
        <v>0</v>
      </c>
      <c r="C47">
        <f t="shared" si="15"/>
        <v>0</v>
      </c>
      <c r="D47">
        <f t="shared" si="4"/>
        <v>0</v>
      </c>
      <c r="E47">
        <f t="shared" si="5"/>
        <v>0</v>
      </c>
      <c r="F47">
        <f t="shared" si="6"/>
        <v>0</v>
      </c>
      <c r="G47">
        <f t="shared" si="7"/>
        <v>0</v>
      </c>
      <c r="H47">
        <f t="shared" si="7"/>
        <v>0</v>
      </c>
      <c r="I47">
        <f t="shared" si="7"/>
        <v>0</v>
      </c>
      <c r="J47">
        <f t="shared" si="7"/>
        <v>0</v>
      </c>
      <c r="K47" t="e">
        <f t="shared" si="12"/>
        <v>#VALUE!</v>
      </c>
      <c r="L47" t="e">
        <f t="shared" si="12"/>
        <v>#VALUE!</v>
      </c>
      <c r="M47" t="e">
        <f t="shared" si="16"/>
        <v>#VALUE!</v>
      </c>
      <c r="N47" t="e">
        <f t="shared" si="16"/>
        <v>#VALUE!</v>
      </c>
    </row>
    <row r="48" spans="1:20" x14ac:dyDescent="0.25">
      <c r="A48">
        <f t="shared" si="14"/>
        <v>1500</v>
      </c>
      <c r="B48">
        <f t="shared" si="2"/>
        <v>0</v>
      </c>
      <c r="C48">
        <f t="shared" si="15"/>
        <v>0</v>
      </c>
      <c r="D48">
        <f t="shared" si="4"/>
        <v>0</v>
      </c>
      <c r="E48">
        <f t="shared" si="5"/>
        <v>0</v>
      </c>
      <c r="F48">
        <f t="shared" si="6"/>
        <v>0</v>
      </c>
      <c r="G48">
        <f t="shared" si="7"/>
        <v>0</v>
      </c>
      <c r="H48">
        <f t="shared" si="7"/>
        <v>0</v>
      </c>
      <c r="I48">
        <f t="shared" si="7"/>
        <v>0</v>
      </c>
      <c r="J48">
        <f t="shared" si="7"/>
        <v>0</v>
      </c>
      <c r="K48" t="e">
        <f t="shared" si="12"/>
        <v>#VALUE!</v>
      </c>
      <c r="L48" t="e">
        <f t="shared" si="12"/>
        <v>#VALUE!</v>
      </c>
      <c r="M48" t="e">
        <f t="shared" si="16"/>
        <v>#VALUE!</v>
      </c>
      <c r="N48" t="e">
        <f t="shared" si="16"/>
        <v>#VALUE!</v>
      </c>
    </row>
    <row r="49" spans="1:14" x14ac:dyDescent="0.25">
      <c r="A49">
        <f t="shared" si="14"/>
        <v>1800</v>
      </c>
      <c r="B49">
        <f t="shared" si="2"/>
        <v>0</v>
      </c>
      <c r="C49">
        <f t="shared" si="15"/>
        <v>0</v>
      </c>
      <c r="D49">
        <f t="shared" si="4"/>
        <v>0</v>
      </c>
      <c r="E49">
        <f t="shared" si="5"/>
        <v>0</v>
      </c>
      <c r="F49">
        <f t="shared" si="6"/>
        <v>0</v>
      </c>
      <c r="G49">
        <f t="shared" si="7"/>
        <v>0</v>
      </c>
      <c r="H49">
        <f t="shared" si="7"/>
        <v>2200</v>
      </c>
      <c r="I49">
        <f t="shared" si="7"/>
        <v>0</v>
      </c>
      <c r="J49">
        <f t="shared" si="7"/>
        <v>0</v>
      </c>
      <c r="K49" t="e">
        <f t="shared" si="12"/>
        <v>#VALUE!</v>
      </c>
      <c r="L49" t="e">
        <f t="shared" si="12"/>
        <v>#VALUE!</v>
      </c>
      <c r="M49" t="e">
        <f t="shared" si="16"/>
        <v>#VALUE!</v>
      </c>
      <c r="N49" t="e">
        <f t="shared" si="16"/>
        <v>#VALUE!</v>
      </c>
    </row>
    <row r="50" spans="1:14" x14ac:dyDescent="0.25">
      <c r="A50">
        <f t="shared" si="14"/>
        <v>2200</v>
      </c>
      <c r="B50">
        <f t="shared" si="2"/>
        <v>0</v>
      </c>
      <c r="C50">
        <f t="shared" si="15"/>
        <v>0</v>
      </c>
      <c r="D50">
        <f t="shared" si="4"/>
        <v>0</v>
      </c>
      <c r="E50">
        <f t="shared" si="5"/>
        <v>0</v>
      </c>
      <c r="F50">
        <f t="shared" si="6"/>
        <v>0</v>
      </c>
      <c r="G50">
        <f t="shared" si="7"/>
        <v>0</v>
      </c>
      <c r="H50">
        <f t="shared" si="7"/>
        <v>0</v>
      </c>
      <c r="I50">
        <f t="shared" si="7"/>
        <v>0</v>
      </c>
      <c r="J50">
        <f t="shared" si="7"/>
        <v>0</v>
      </c>
      <c r="K50" t="e">
        <f t="shared" si="12"/>
        <v>#VALUE!</v>
      </c>
      <c r="L50" t="e">
        <f t="shared" si="12"/>
        <v>#VALUE!</v>
      </c>
      <c r="M50" t="e">
        <f t="shared" si="16"/>
        <v>#VALUE!</v>
      </c>
      <c r="N50" t="e">
        <f t="shared" si="16"/>
        <v>#VALUE!</v>
      </c>
    </row>
    <row r="51" spans="1:14" x14ac:dyDescent="0.25">
      <c r="A51">
        <f t="shared" si="14"/>
        <v>2700</v>
      </c>
      <c r="B51">
        <f t="shared" si="2"/>
        <v>0</v>
      </c>
      <c r="C51">
        <f t="shared" si="15"/>
        <v>0</v>
      </c>
      <c r="D51">
        <f t="shared" si="4"/>
        <v>0</v>
      </c>
      <c r="E51">
        <f t="shared" si="5"/>
        <v>0</v>
      </c>
      <c r="F51">
        <f t="shared" si="6"/>
        <v>0</v>
      </c>
      <c r="G51">
        <f t="shared" si="7"/>
        <v>0</v>
      </c>
      <c r="H51">
        <f t="shared" si="7"/>
        <v>0</v>
      </c>
      <c r="I51">
        <f t="shared" si="7"/>
        <v>0</v>
      </c>
      <c r="J51">
        <f t="shared" si="7"/>
        <v>0</v>
      </c>
      <c r="K51" t="e">
        <f t="shared" si="12"/>
        <v>#VALUE!</v>
      </c>
      <c r="L51" t="e">
        <f t="shared" si="12"/>
        <v>#VALUE!</v>
      </c>
      <c r="M51" t="e">
        <f t="shared" si="16"/>
        <v>#VALUE!</v>
      </c>
      <c r="N51" t="e">
        <f t="shared" si="16"/>
        <v>#VALUE!</v>
      </c>
    </row>
    <row r="52" spans="1:14" x14ac:dyDescent="0.25">
      <c r="A52">
        <f t="shared" si="14"/>
        <v>3300</v>
      </c>
      <c r="B52">
        <f t="shared" si="2"/>
        <v>0</v>
      </c>
      <c r="C52">
        <f t="shared" si="15"/>
        <v>0</v>
      </c>
      <c r="D52">
        <f t="shared" si="4"/>
        <v>0</v>
      </c>
      <c r="E52">
        <f t="shared" si="5"/>
        <v>0</v>
      </c>
      <c r="F52">
        <f t="shared" si="6"/>
        <v>0</v>
      </c>
      <c r="G52">
        <f t="shared" si="7"/>
        <v>0</v>
      </c>
      <c r="H52">
        <f t="shared" si="7"/>
        <v>0</v>
      </c>
      <c r="I52">
        <f t="shared" si="7"/>
        <v>0</v>
      </c>
      <c r="J52">
        <f t="shared" si="7"/>
        <v>0</v>
      </c>
      <c r="K52" t="e">
        <f t="shared" si="12"/>
        <v>#VALUE!</v>
      </c>
      <c r="L52" t="e">
        <f t="shared" si="12"/>
        <v>#VALUE!</v>
      </c>
      <c r="M52" t="e">
        <f t="shared" si="16"/>
        <v>#VALUE!</v>
      </c>
      <c r="N52" t="e">
        <f t="shared" si="16"/>
        <v>#VALUE!</v>
      </c>
    </row>
    <row r="53" spans="1:14" x14ac:dyDescent="0.25">
      <c r="A53">
        <f t="shared" si="14"/>
        <v>3900</v>
      </c>
      <c r="B53">
        <f t="shared" si="2"/>
        <v>0</v>
      </c>
      <c r="C53">
        <f t="shared" si="15"/>
        <v>0</v>
      </c>
      <c r="D53">
        <f t="shared" si="4"/>
        <v>0</v>
      </c>
      <c r="E53">
        <f t="shared" si="5"/>
        <v>0</v>
      </c>
      <c r="F53">
        <f t="shared" si="6"/>
        <v>0</v>
      </c>
      <c r="G53">
        <f t="shared" si="7"/>
        <v>0</v>
      </c>
      <c r="H53">
        <f t="shared" si="7"/>
        <v>0</v>
      </c>
      <c r="I53">
        <f t="shared" si="7"/>
        <v>0</v>
      </c>
      <c r="J53">
        <f t="shared" si="7"/>
        <v>0</v>
      </c>
      <c r="K53" t="e">
        <f t="shared" si="12"/>
        <v>#VALUE!</v>
      </c>
      <c r="L53" t="e">
        <f t="shared" si="12"/>
        <v>#VALUE!</v>
      </c>
      <c r="M53" t="e">
        <f t="shared" si="16"/>
        <v>#VALUE!</v>
      </c>
      <c r="N53" t="e">
        <f t="shared" si="16"/>
        <v>#VALUE!</v>
      </c>
    </row>
    <row r="54" spans="1:14" x14ac:dyDescent="0.25">
      <c r="A54">
        <f t="shared" si="14"/>
        <v>4700</v>
      </c>
      <c r="B54">
        <f t="shared" si="2"/>
        <v>0</v>
      </c>
      <c r="C54">
        <f t="shared" si="15"/>
        <v>0</v>
      </c>
      <c r="D54">
        <f t="shared" si="4"/>
        <v>0</v>
      </c>
      <c r="E54">
        <f t="shared" si="5"/>
        <v>0</v>
      </c>
      <c r="F54">
        <f t="shared" si="6"/>
        <v>0</v>
      </c>
      <c r="G54">
        <f t="shared" si="7"/>
        <v>0</v>
      </c>
      <c r="H54">
        <f t="shared" si="7"/>
        <v>0</v>
      </c>
      <c r="I54">
        <f t="shared" si="7"/>
        <v>0</v>
      </c>
      <c r="J54">
        <f t="shared" si="7"/>
        <v>0</v>
      </c>
      <c r="K54" t="e">
        <f t="shared" si="12"/>
        <v>#VALUE!</v>
      </c>
      <c r="L54" t="e">
        <f t="shared" si="12"/>
        <v>#VALUE!</v>
      </c>
      <c r="M54" t="e">
        <f t="shared" si="16"/>
        <v>#VALUE!</v>
      </c>
      <c r="N54" t="e">
        <f t="shared" si="16"/>
        <v>#VALUE!</v>
      </c>
    </row>
    <row r="55" spans="1:14" x14ac:dyDescent="0.25">
      <c r="A55">
        <f t="shared" si="14"/>
        <v>5600</v>
      </c>
      <c r="B55">
        <f t="shared" si="2"/>
        <v>0</v>
      </c>
      <c r="C55">
        <f t="shared" si="15"/>
        <v>0</v>
      </c>
      <c r="D55">
        <f t="shared" si="4"/>
        <v>0</v>
      </c>
      <c r="E55">
        <f t="shared" si="5"/>
        <v>0</v>
      </c>
      <c r="F55">
        <f t="shared" si="6"/>
        <v>0</v>
      </c>
      <c r="G55">
        <f t="shared" si="7"/>
        <v>0</v>
      </c>
      <c r="H55">
        <f t="shared" si="7"/>
        <v>0</v>
      </c>
      <c r="I55">
        <f t="shared" si="7"/>
        <v>0</v>
      </c>
      <c r="J55">
        <f t="shared" si="7"/>
        <v>0</v>
      </c>
      <c r="K55" t="e">
        <f t="shared" si="12"/>
        <v>#VALUE!</v>
      </c>
      <c r="L55" t="e">
        <f t="shared" si="12"/>
        <v>#VALUE!</v>
      </c>
      <c r="M55" t="e">
        <f t="shared" si="16"/>
        <v>#VALUE!</v>
      </c>
      <c r="N55" t="e">
        <f t="shared" si="16"/>
        <v>#VALUE!</v>
      </c>
    </row>
    <row r="56" spans="1:14" x14ac:dyDescent="0.25">
      <c r="A56">
        <f t="shared" si="14"/>
        <v>6800</v>
      </c>
      <c r="B56">
        <f t="shared" si="2"/>
        <v>0</v>
      </c>
      <c r="C56">
        <f t="shared" si="15"/>
        <v>0</v>
      </c>
      <c r="D56">
        <f t="shared" si="4"/>
        <v>0</v>
      </c>
      <c r="E56">
        <f t="shared" si="5"/>
        <v>0</v>
      </c>
      <c r="F56">
        <f t="shared" si="6"/>
        <v>0</v>
      </c>
      <c r="G56">
        <f t="shared" si="7"/>
        <v>0</v>
      </c>
      <c r="H56">
        <f t="shared" si="7"/>
        <v>0</v>
      </c>
      <c r="I56">
        <f t="shared" si="7"/>
        <v>0</v>
      </c>
      <c r="J56">
        <f t="shared" si="7"/>
        <v>0</v>
      </c>
      <c r="K56" t="e">
        <f t="shared" si="12"/>
        <v>#VALUE!</v>
      </c>
      <c r="L56" t="e">
        <f t="shared" si="12"/>
        <v>#VALUE!</v>
      </c>
      <c r="M56" t="e">
        <f t="shared" si="16"/>
        <v>#VALUE!</v>
      </c>
      <c r="N56" t="e">
        <f t="shared" si="16"/>
        <v>#VALUE!</v>
      </c>
    </row>
    <row r="57" spans="1:14" x14ac:dyDescent="0.25">
      <c r="A57">
        <f t="shared" si="14"/>
        <v>8200</v>
      </c>
      <c r="B57">
        <f t="shared" si="2"/>
        <v>0</v>
      </c>
      <c r="C57">
        <f t="shared" si="15"/>
        <v>0</v>
      </c>
      <c r="D57">
        <f t="shared" si="4"/>
        <v>0</v>
      </c>
      <c r="E57">
        <f t="shared" si="5"/>
        <v>0</v>
      </c>
      <c r="F57">
        <f t="shared" si="6"/>
        <v>0</v>
      </c>
      <c r="G57">
        <f t="shared" si="7"/>
        <v>0</v>
      </c>
      <c r="H57">
        <f t="shared" si="7"/>
        <v>0</v>
      </c>
      <c r="I57">
        <f t="shared" si="7"/>
        <v>0</v>
      </c>
      <c r="J57">
        <f t="shared" si="7"/>
        <v>0</v>
      </c>
      <c r="K57" t="e">
        <f t="shared" si="12"/>
        <v>#VALUE!</v>
      </c>
      <c r="L57" t="e">
        <f t="shared" si="12"/>
        <v>#VALUE!</v>
      </c>
      <c r="M57" t="e">
        <f t="shared" si="16"/>
        <v>#VALUE!</v>
      </c>
      <c r="N57" t="e">
        <f t="shared" si="16"/>
        <v>#VALUE!</v>
      </c>
    </row>
    <row r="58" spans="1:14" x14ac:dyDescent="0.25">
      <c r="A58">
        <f t="shared" si="14"/>
        <v>10000</v>
      </c>
      <c r="B58">
        <f t="shared" si="2"/>
        <v>0</v>
      </c>
      <c r="C58">
        <f t="shared" si="15"/>
        <v>0</v>
      </c>
      <c r="D58">
        <f t="shared" si="4"/>
        <v>0</v>
      </c>
      <c r="E58">
        <f t="shared" si="5"/>
        <v>0</v>
      </c>
      <c r="F58">
        <f t="shared" si="6"/>
        <v>0</v>
      </c>
      <c r="G58">
        <f t="shared" si="7"/>
        <v>0</v>
      </c>
      <c r="H58">
        <f t="shared" si="7"/>
        <v>0</v>
      </c>
      <c r="I58">
        <f t="shared" si="7"/>
        <v>0</v>
      </c>
      <c r="J58">
        <f t="shared" si="7"/>
        <v>0</v>
      </c>
      <c r="K58" t="e">
        <f t="shared" si="12"/>
        <v>#VALUE!</v>
      </c>
      <c r="L58" t="e">
        <f t="shared" si="12"/>
        <v>#VALUE!</v>
      </c>
      <c r="M58" t="e">
        <f t="shared" si="16"/>
        <v>#VALUE!</v>
      </c>
      <c r="N58" t="e">
        <f t="shared" si="16"/>
        <v>#VALUE!</v>
      </c>
    </row>
    <row r="59" spans="1:14" x14ac:dyDescent="0.25">
      <c r="A59">
        <f t="shared" si="14"/>
        <v>12000</v>
      </c>
      <c r="B59">
        <f t="shared" si="2"/>
        <v>0</v>
      </c>
      <c r="C59">
        <f t="shared" si="15"/>
        <v>0</v>
      </c>
      <c r="D59">
        <f t="shared" si="4"/>
        <v>0</v>
      </c>
      <c r="E59">
        <f t="shared" si="5"/>
        <v>0</v>
      </c>
      <c r="F59">
        <f t="shared" si="6"/>
        <v>0</v>
      </c>
      <c r="G59">
        <f t="shared" si="7"/>
        <v>0</v>
      </c>
      <c r="H59">
        <f t="shared" si="7"/>
        <v>0</v>
      </c>
      <c r="I59">
        <f t="shared" si="7"/>
        <v>0</v>
      </c>
      <c r="J59">
        <f t="shared" si="7"/>
        <v>0</v>
      </c>
      <c r="K59" t="e">
        <f t="shared" si="12"/>
        <v>#VALUE!</v>
      </c>
      <c r="L59" t="e">
        <f t="shared" si="12"/>
        <v>#VALUE!</v>
      </c>
      <c r="M59" t="e">
        <f t="shared" ref="M59:N68" si="17">IF(IF((M$3*10^12-$A60)*(M$3*10^12-$A59)*-1&lt;0,0,1)*IF(ABS(M$3*10^12-$A60)&gt;(M$3*10^12-$A59),$A59,$A60)=M60,0,IF((M$3*10^12-$A60)*(M$3*10^12-$A59)*-1&lt;0,0,1)*IF(ABS(M$3*10^12-$A60)&gt;(M$3*10^12-$A59),$A59,$A60))</f>
        <v>#VALUE!</v>
      </c>
      <c r="N59" t="e">
        <f t="shared" si="17"/>
        <v>#VALUE!</v>
      </c>
    </row>
    <row r="60" spans="1:14" x14ac:dyDescent="0.25">
      <c r="A60">
        <f t="shared" si="14"/>
        <v>15000</v>
      </c>
      <c r="B60">
        <f t="shared" si="2"/>
        <v>0</v>
      </c>
      <c r="C60">
        <f t="shared" si="15"/>
        <v>0</v>
      </c>
      <c r="D60">
        <f t="shared" si="4"/>
        <v>0</v>
      </c>
      <c r="E60">
        <f t="shared" si="5"/>
        <v>0</v>
      </c>
      <c r="F60">
        <f t="shared" si="6"/>
        <v>0</v>
      </c>
      <c r="G60">
        <f t="shared" si="7"/>
        <v>0</v>
      </c>
      <c r="H60">
        <f t="shared" si="7"/>
        <v>0</v>
      </c>
      <c r="I60">
        <f t="shared" si="7"/>
        <v>0</v>
      </c>
      <c r="J60">
        <f t="shared" si="7"/>
        <v>0</v>
      </c>
      <c r="K60" t="e">
        <f t="shared" si="12"/>
        <v>#VALUE!</v>
      </c>
      <c r="L60" t="e">
        <f t="shared" si="12"/>
        <v>#VALUE!</v>
      </c>
      <c r="M60" t="e">
        <f t="shared" si="17"/>
        <v>#VALUE!</v>
      </c>
      <c r="N60" t="e">
        <f t="shared" si="17"/>
        <v>#VALUE!</v>
      </c>
    </row>
    <row r="61" spans="1:14" x14ac:dyDescent="0.25">
      <c r="A61">
        <f t="shared" si="14"/>
        <v>18000</v>
      </c>
      <c r="B61">
        <f t="shared" si="2"/>
        <v>0</v>
      </c>
      <c r="C61">
        <f t="shared" si="15"/>
        <v>0</v>
      </c>
      <c r="D61">
        <f t="shared" si="4"/>
        <v>0</v>
      </c>
      <c r="E61">
        <f t="shared" si="5"/>
        <v>0</v>
      </c>
      <c r="F61">
        <f t="shared" si="6"/>
        <v>0</v>
      </c>
      <c r="G61">
        <f t="shared" si="7"/>
        <v>0</v>
      </c>
      <c r="H61">
        <f t="shared" si="7"/>
        <v>0</v>
      </c>
      <c r="I61">
        <f t="shared" si="7"/>
        <v>0</v>
      </c>
      <c r="J61">
        <f t="shared" si="7"/>
        <v>0</v>
      </c>
      <c r="K61" t="e">
        <f t="shared" si="12"/>
        <v>#VALUE!</v>
      </c>
      <c r="L61" t="e">
        <f t="shared" si="12"/>
        <v>#VALUE!</v>
      </c>
      <c r="M61" t="e">
        <f t="shared" si="17"/>
        <v>#VALUE!</v>
      </c>
      <c r="N61" t="e">
        <f t="shared" si="17"/>
        <v>#VALUE!</v>
      </c>
    </row>
    <row r="62" spans="1:14" x14ac:dyDescent="0.25">
      <c r="A62">
        <f t="shared" si="14"/>
        <v>22000</v>
      </c>
      <c r="B62">
        <f t="shared" si="2"/>
        <v>0</v>
      </c>
      <c r="C62">
        <f t="shared" si="15"/>
        <v>0</v>
      </c>
      <c r="D62">
        <f t="shared" si="4"/>
        <v>0</v>
      </c>
      <c r="E62">
        <f t="shared" si="5"/>
        <v>0</v>
      </c>
      <c r="F62">
        <f t="shared" si="6"/>
        <v>0</v>
      </c>
      <c r="G62">
        <f t="shared" si="7"/>
        <v>0</v>
      </c>
      <c r="H62">
        <f t="shared" si="7"/>
        <v>0</v>
      </c>
      <c r="I62">
        <f t="shared" si="7"/>
        <v>0</v>
      </c>
      <c r="J62">
        <f t="shared" si="7"/>
        <v>0</v>
      </c>
      <c r="K62" t="e">
        <f t="shared" si="12"/>
        <v>#VALUE!</v>
      </c>
      <c r="L62" t="e">
        <f t="shared" si="12"/>
        <v>#VALUE!</v>
      </c>
      <c r="M62" t="e">
        <f t="shared" si="17"/>
        <v>#VALUE!</v>
      </c>
      <c r="N62" t="e">
        <f t="shared" si="17"/>
        <v>#VALUE!</v>
      </c>
    </row>
    <row r="63" spans="1:14" x14ac:dyDescent="0.25">
      <c r="A63">
        <f t="shared" si="14"/>
        <v>27000</v>
      </c>
      <c r="B63">
        <f t="shared" si="2"/>
        <v>0</v>
      </c>
      <c r="C63">
        <f t="shared" si="15"/>
        <v>0</v>
      </c>
      <c r="D63">
        <f t="shared" si="4"/>
        <v>0</v>
      </c>
      <c r="E63">
        <f t="shared" si="5"/>
        <v>0</v>
      </c>
      <c r="F63">
        <f t="shared" si="6"/>
        <v>0</v>
      </c>
      <c r="G63">
        <f t="shared" si="7"/>
        <v>0</v>
      </c>
      <c r="H63">
        <f t="shared" si="7"/>
        <v>0</v>
      </c>
      <c r="I63">
        <f t="shared" si="7"/>
        <v>0</v>
      </c>
      <c r="J63">
        <f t="shared" si="7"/>
        <v>0</v>
      </c>
      <c r="K63" t="e">
        <f t="shared" si="12"/>
        <v>#VALUE!</v>
      </c>
      <c r="L63" t="e">
        <f t="shared" si="12"/>
        <v>#VALUE!</v>
      </c>
      <c r="M63" t="e">
        <f t="shared" si="17"/>
        <v>#VALUE!</v>
      </c>
      <c r="N63" t="e">
        <f t="shared" si="17"/>
        <v>#VALUE!</v>
      </c>
    </row>
    <row r="64" spans="1:14" x14ac:dyDescent="0.25">
      <c r="A64">
        <f t="shared" si="14"/>
        <v>33000</v>
      </c>
      <c r="B64">
        <f t="shared" si="2"/>
        <v>0</v>
      </c>
      <c r="C64">
        <f t="shared" si="15"/>
        <v>0</v>
      </c>
      <c r="D64">
        <f t="shared" si="4"/>
        <v>0</v>
      </c>
      <c r="E64">
        <f t="shared" si="5"/>
        <v>0</v>
      </c>
      <c r="F64">
        <f t="shared" si="6"/>
        <v>0</v>
      </c>
      <c r="G64">
        <f t="shared" si="7"/>
        <v>0</v>
      </c>
      <c r="H64">
        <f t="shared" si="7"/>
        <v>0</v>
      </c>
      <c r="I64">
        <f t="shared" si="7"/>
        <v>0</v>
      </c>
      <c r="J64">
        <f t="shared" si="7"/>
        <v>0</v>
      </c>
      <c r="K64" t="e">
        <f t="shared" si="12"/>
        <v>#VALUE!</v>
      </c>
      <c r="L64" t="e">
        <f t="shared" si="12"/>
        <v>#VALUE!</v>
      </c>
      <c r="M64" t="e">
        <f t="shared" si="17"/>
        <v>#VALUE!</v>
      </c>
      <c r="N64" t="e">
        <f t="shared" si="17"/>
        <v>#VALUE!</v>
      </c>
    </row>
    <row r="65" spans="1:14" x14ac:dyDescent="0.25">
      <c r="A65">
        <f t="shared" si="14"/>
        <v>39000</v>
      </c>
      <c r="B65">
        <f t="shared" si="2"/>
        <v>0</v>
      </c>
      <c r="C65">
        <f t="shared" si="15"/>
        <v>0</v>
      </c>
      <c r="D65">
        <f t="shared" si="4"/>
        <v>0</v>
      </c>
      <c r="E65">
        <f t="shared" si="5"/>
        <v>0</v>
      </c>
      <c r="F65">
        <f t="shared" si="6"/>
        <v>0</v>
      </c>
      <c r="G65">
        <f t="shared" si="7"/>
        <v>0</v>
      </c>
      <c r="H65">
        <f t="shared" si="7"/>
        <v>0</v>
      </c>
      <c r="I65">
        <f t="shared" si="7"/>
        <v>0</v>
      </c>
      <c r="J65">
        <f t="shared" si="7"/>
        <v>0</v>
      </c>
      <c r="K65" t="e">
        <f t="shared" si="12"/>
        <v>#VALUE!</v>
      </c>
      <c r="L65" t="e">
        <f t="shared" si="12"/>
        <v>#VALUE!</v>
      </c>
      <c r="M65" t="e">
        <f t="shared" si="17"/>
        <v>#VALUE!</v>
      </c>
      <c r="N65" t="e">
        <f t="shared" si="17"/>
        <v>#VALUE!</v>
      </c>
    </row>
    <row r="66" spans="1:14" x14ac:dyDescent="0.25">
      <c r="A66">
        <f t="shared" si="14"/>
        <v>47000</v>
      </c>
      <c r="B66">
        <f t="shared" si="2"/>
        <v>0</v>
      </c>
      <c r="C66">
        <f t="shared" si="15"/>
        <v>0</v>
      </c>
      <c r="D66">
        <f t="shared" si="4"/>
        <v>0</v>
      </c>
      <c r="E66">
        <f t="shared" si="5"/>
        <v>0</v>
      </c>
      <c r="F66">
        <f t="shared" si="6"/>
        <v>0</v>
      </c>
      <c r="G66">
        <f t="shared" si="7"/>
        <v>0</v>
      </c>
      <c r="H66">
        <f t="shared" si="7"/>
        <v>0</v>
      </c>
      <c r="I66">
        <f t="shared" si="7"/>
        <v>0</v>
      </c>
      <c r="J66">
        <f t="shared" si="7"/>
        <v>0</v>
      </c>
      <c r="K66" t="e">
        <f t="shared" si="12"/>
        <v>#VALUE!</v>
      </c>
      <c r="L66" t="e">
        <f t="shared" si="12"/>
        <v>#VALUE!</v>
      </c>
      <c r="M66" t="e">
        <f t="shared" si="17"/>
        <v>#VALUE!</v>
      </c>
      <c r="N66" t="e">
        <f t="shared" si="17"/>
        <v>#VALUE!</v>
      </c>
    </row>
    <row r="67" spans="1:14" x14ac:dyDescent="0.25">
      <c r="A67">
        <f t="shared" si="14"/>
        <v>56000</v>
      </c>
      <c r="B67">
        <f t="shared" si="2"/>
        <v>0</v>
      </c>
      <c r="C67">
        <f t="shared" si="15"/>
        <v>0</v>
      </c>
      <c r="D67">
        <f t="shared" si="4"/>
        <v>0</v>
      </c>
      <c r="E67">
        <f t="shared" si="5"/>
        <v>0</v>
      </c>
      <c r="F67">
        <f t="shared" si="6"/>
        <v>0</v>
      </c>
      <c r="G67">
        <f t="shared" si="7"/>
        <v>0</v>
      </c>
      <c r="H67">
        <f t="shared" si="7"/>
        <v>0</v>
      </c>
      <c r="I67">
        <f t="shared" si="7"/>
        <v>0</v>
      </c>
      <c r="J67">
        <f t="shared" si="7"/>
        <v>0</v>
      </c>
      <c r="K67" t="e">
        <f t="shared" si="12"/>
        <v>#VALUE!</v>
      </c>
      <c r="L67" t="e">
        <f t="shared" si="12"/>
        <v>#VALUE!</v>
      </c>
      <c r="M67" t="e">
        <f t="shared" si="17"/>
        <v>#VALUE!</v>
      </c>
      <c r="N67" t="e">
        <f t="shared" si="17"/>
        <v>#VALUE!</v>
      </c>
    </row>
    <row r="68" spans="1:14" x14ac:dyDescent="0.25">
      <c r="A68">
        <f t="shared" si="14"/>
        <v>68000</v>
      </c>
      <c r="B68">
        <f t="shared" si="2"/>
        <v>0</v>
      </c>
      <c r="C68">
        <f t="shared" si="15"/>
        <v>0</v>
      </c>
      <c r="D68">
        <f t="shared" si="4"/>
        <v>0</v>
      </c>
      <c r="E68">
        <f t="shared" si="5"/>
        <v>0</v>
      </c>
      <c r="F68">
        <f t="shared" si="6"/>
        <v>0</v>
      </c>
      <c r="G68">
        <f t="shared" si="7"/>
        <v>0</v>
      </c>
      <c r="H68">
        <f t="shared" si="7"/>
        <v>0</v>
      </c>
      <c r="I68">
        <f t="shared" si="7"/>
        <v>0</v>
      </c>
      <c r="J68">
        <f t="shared" si="7"/>
        <v>0</v>
      </c>
      <c r="K68" t="e">
        <f t="shared" si="12"/>
        <v>#VALUE!</v>
      </c>
      <c r="L68" t="e">
        <f t="shared" si="12"/>
        <v>#VALUE!</v>
      </c>
      <c r="M68" t="e">
        <f t="shared" si="17"/>
        <v>#VALUE!</v>
      </c>
      <c r="N68" t="e">
        <f t="shared" si="17"/>
        <v>#VALUE!</v>
      </c>
    </row>
    <row r="69" spans="1:14" x14ac:dyDescent="0.25">
      <c r="A69">
        <f t="shared" si="14"/>
        <v>82000</v>
      </c>
      <c r="B69">
        <f t="shared" si="2"/>
        <v>0</v>
      </c>
      <c r="C69">
        <f t="shared" si="15"/>
        <v>0</v>
      </c>
      <c r="D69">
        <f t="shared" si="4"/>
        <v>0</v>
      </c>
      <c r="E69">
        <f t="shared" si="5"/>
        <v>0</v>
      </c>
      <c r="F69">
        <f t="shared" si="6"/>
        <v>0</v>
      </c>
      <c r="G69">
        <f t="shared" si="7"/>
        <v>0</v>
      </c>
      <c r="H69">
        <f t="shared" si="7"/>
        <v>0</v>
      </c>
      <c r="I69">
        <f t="shared" si="7"/>
        <v>0</v>
      </c>
      <c r="J69">
        <f t="shared" ref="J69:N132" si="18">IF(IF((J$3*10^12-$A70)*(J$3*10^12-$A69)*-1&lt;0,0,1)*IF(ABS(J$3*10^12-$A70)&gt;(J$3*10^12-$A69),$A69,$A70)=J70,0,IF((J$3*10^12-$A70)*(J$3*10^12-$A69)*-1&lt;0,0,1)*IF(ABS(J$3*10^12-$A70)&gt;(J$3*10^12-$A69),$A69,$A70))</f>
        <v>0</v>
      </c>
      <c r="K69" t="e">
        <f t="shared" si="18"/>
        <v>#VALUE!</v>
      </c>
      <c r="L69" t="e">
        <f t="shared" si="12"/>
        <v>#VALUE!</v>
      </c>
      <c r="M69" t="e">
        <f t="shared" si="18"/>
        <v>#VALUE!</v>
      </c>
      <c r="N69" t="e">
        <f t="shared" si="18"/>
        <v>#VALUE!</v>
      </c>
    </row>
    <row r="70" spans="1:14" x14ac:dyDescent="0.25">
      <c r="A70">
        <f t="shared" si="14"/>
        <v>100000</v>
      </c>
      <c r="B70">
        <f t="shared" si="2"/>
        <v>0</v>
      </c>
      <c r="C70">
        <f t="shared" si="15"/>
        <v>0</v>
      </c>
      <c r="D70">
        <f t="shared" ref="D70:I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8"/>
        <v>0</v>
      </c>
      <c r="K70" t="e">
        <f t="shared" si="18"/>
        <v>#VALUE!</v>
      </c>
      <c r="L70" t="e">
        <f t="shared" si="12"/>
        <v>#VALUE!</v>
      </c>
      <c r="M70" t="e">
        <f t="shared" si="18"/>
        <v>#VALUE!</v>
      </c>
      <c r="N70" t="e">
        <f t="shared" si="18"/>
        <v>#VALUE!</v>
      </c>
    </row>
    <row r="71" spans="1:14" x14ac:dyDescent="0.25">
      <c r="A71">
        <f t="shared" si="14"/>
        <v>120000</v>
      </c>
      <c r="B71">
        <f t="shared" ref="B71:B134" si="20">IF(IF((B$3*10^12-$A72)*(B$3*10^12-$A71)*-1&lt;0,0,1)*IF(ABS(B$3*10^12-$A72)&gt;(B$3*10^12-$A71),$A71,$A72)=B72,0,IF((B$3*10^12-$A72)*(B$3*10^12-$A71)*-1&lt;0,0,1)*IF(ABS(B$3*10^12-$A72)&gt;(B$3*10^12-$A71),$A71,$A72))</f>
        <v>0</v>
      </c>
      <c r="C71">
        <f t="shared" ref="C71:E134" si="21">IF(IF((C$3*10^12-$A72)*(C$3*10^12-$A71)*-1&lt;0,0,1)*IF(ABS(C$3*10^12-$A72)&gt;(C$3*10^12-$A71),$A71,$A72)=C72,0,IF((C$3*10^12-$A72)*(C$3*10^12-$A71)*-1&lt;0,0,1)*IF(ABS(C$3*10^12-$A72)&gt;(C$3*10^12-$A71),$A71,$A72))</f>
        <v>0</v>
      </c>
      <c r="D71">
        <f t="shared" si="21"/>
        <v>0</v>
      </c>
      <c r="E71">
        <f t="shared" si="21"/>
        <v>0</v>
      </c>
      <c r="F71">
        <f t="shared" ref="F71:F102" si="22">IF(IF((F$3*10^12-$A72)*(F$3*10^12-$A71)*-1&lt;0,0,1)*IF(ABS(F$3*10^12-$A72)&gt;(F$3*10^12-$A71),$A71,$A72)=F72,0,IF((F$3*10^12-$A72)*(F$3*10^12-$A71)*-1&lt;0,0,1)*IF(ABS(F$3*10^12-$A72)&gt;(F$3*10^12-$A71),$A71,$A72))</f>
        <v>0</v>
      </c>
      <c r="G71">
        <f t="shared" ref="G71:G102" si="23">IF(IF((G$3*10^12-$A72)*(G$3*10^12-$A71)*-1&lt;0,0,1)*IF(ABS(G$3*10^12-$A72)&gt;(G$3*10^12-$A71),$A71,$A72)=G72,0,IF((G$3*10^12-$A72)*(G$3*10^12-$A71)*-1&lt;0,0,1)*IF(ABS(G$3*10^12-$A72)&gt;(G$3*10^12-$A71),$A71,$A72))</f>
        <v>0</v>
      </c>
      <c r="H71">
        <f t="shared" ref="H71:H102" si="24">IF(IF((H$3*10^12-$A72)*(H$3*10^12-$A71)*-1&lt;0,0,1)*IF(ABS(H$3*10^12-$A72)&gt;(H$3*10^12-$A71),$A71,$A72)=H72,0,IF((H$3*10^12-$A72)*(H$3*10^12-$A71)*-1&lt;0,0,1)*IF(ABS(H$3*10^12-$A72)&gt;(H$3*10^12-$A71),$A71,$A72))</f>
        <v>0</v>
      </c>
      <c r="I71">
        <f t="shared" ref="I71:I102" si="25">IF(IF((I$3*10^12-$A72)*(I$3*10^12-$A71)*-1&lt;0,0,1)*IF(ABS(I$3*10^12-$A72)&gt;(I$3*10^12-$A71),$A71,$A72)=I72,0,IF((I$3*10^12-$A72)*(I$3*10^12-$A71)*-1&lt;0,0,1)*IF(ABS(I$3*10^12-$A72)&gt;(I$3*10^12-$A71),$A71,$A72))</f>
        <v>0</v>
      </c>
      <c r="J71">
        <f t="shared" si="18"/>
        <v>0</v>
      </c>
      <c r="K71" t="e">
        <f t="shared" si="18"/>
        <v>#VALUE!</v>
      </c>
      <c r="L71" t="e">
        <f t="shared" si="12"/>
        <v>#VALUE!</v>
      </c>
      <c r="M71" t="e">
        <f t="shared" si="18"/>
        <v>#VALUE!</v>
      </c>
      <c r="N71" t="e">
        <f t="shared" si="18"/>
        <v>#VALUE!</v>
      </c>
    </row>
    <row r="72" spans="1:14" x14ac:dyDescent="0.25">
      <c r="A72">
        <f t="shared" si="14"/>
        <v>150000</v>
      </c>
      <c r="B72">
        <f t="shared" si="20"/>
        <v>0</v>
      </c>
      <c r="C72">
        <f t="shared" si="21"/>
        <v>0</v>
      </c>
      <c r="D72">
        <f t="shared" si="21"/>
        <v>0</v>
      </c>
      <c r="E72">
        <f t="shared" si="21"/>
        <v>0</v>
      </c>
      <c r="F72">
        <f t="shared" si="22"/>
        <v>0</v>
      </c>
      <c r="G72">
        <f t="shared" si="23"/>
        <v>0</v>
      </c>
      <c r="H72">
        <f t="shared" si="24"/>
        <v>0</v>
      </c>
      <c r="I72">
        <f t="shared" si="25"/>
        <v>0</v>
      </c>
      <c r="J72">
        <f t="shared" si="18"/>
        <v>0</v>
      </c>
      <c r="K72" t="e">
        <f t="shared" si="18"/>
        <v>#VALUE!</v>
      </c>
      <c r="L72" t="e">
        <f t="shared" si="12"/>
        <v>#VALUE!</v>
      </c>
      <c r="M72" t="e">
        <f t="shared" si="18"/>
        <v>#VALUE!</v>
      </c>
      <c r="N72" t="e">
        <f t="shared" si="18"/>
        <v>#VALUE!</v>
      </c>
    </row>
    <row r="73" spans="1:14" x14ac:dyDescent="0.25">
      <c r="A73">
        <f t="shared" si="14"/>
        <v>180000</v>
      </c>
      <c r="B73">
        <f t="shared" si="20"/>
        <v>0</v>
      </c>
      <c r="C73">
        <f t="shared" si="21"/>
        <v>0</v>
      </c>
      <c r="D73">
        <f t="shared" si="21"/>
        <v>0</v>
      </c>
      <c r="E73">
        <f t="shared" si="21"/>
        <v>0</v>
      </c>
      <c r="F73">
        <f t="shared" si="22"/>
        <v>0</v>
      </c>
      <c r="G73">
        <f t="shared" si="23"/>
        <v>0</v>
      </c>
      <c r="H73">
        <f t="shared" si="24"/>
        <v>0</v>
      </c>
      <c r="I73">
        <f t="shared" si="25"/>
        <v>0</v>
      </c>
      <c r="J73">
        <f t="shared" si="18"/>
        <v>0</v>
      </c>
      <c r="K73" t="e">
        <f t="shared" si="18"/>
        <v>#VALUE!</v>
      </c>
      <c r="L73" t="e">
        <f t="shared" si="12"/>
        <v>#VALUE!</v>
      </c>
      <c r="M73" t="e">
        <f t="shared" si="18"/>
        <v>#VALUE!</v>
      </c>
      <c r="N73" t="e">
        <f t="shared" si="18"/>
        <v>#VALUE!</v>
      </c>
    </row>
    <row r="74" spans="1:14" x14ac:dyDescent="0.25">
      <c r="A74">
        <f t="shared" si="14"/>
        <v>220000</v>
      </c>
      <c r="B74">
        <f t="shared" si="20"/>
        <v>0</v>
      </c>
      <c r="C74">
        <f t="shared" si="21"/>
        <v>0</v>
      </c>
      <c r="D74">
        <f t="shared" si="21"/>
        <v>0</v>
      </c>
      <c r="E74">
        <f t="shared" si="21"/>
        <v>0</v>
      </c>
      <c r="F74">
        <f t="shared" si="22"/>
        <v>0</v>
      </c>
      <c r="G74">
        <f t="shared" si="23"/>
        <v>0</v>
      </c>
      <c r="H74">
        <f t="shared" si="24"/>
        <v>0</v>
      </c>
      <c r="I74">
        <f t="shared" si="25"/>
        <v>0</v>
      </c>
      <c r="J74">
        <f t="shared" si="18"/>
        <v>0</v>
      </c>
      <c r="K74" t="e">
        <f t="shared" si="18"/>
        <v>#VALUE!</v>
      </c>
      <c r="L74" t="e">
        <f t="shared" si="12"/>
        <v>#VALUE!</v>
      </c>
      <c r="M74" t="e">
        <f t="shared" si="18"/>
        <v>#VALUE!</v>
      </c>
      <c r="N74" t="e">
        <f t="shared" si="18"/>
        <v>#VALUE!</v>
      </c>
    </row>
    <row r="75" spans="1:14" x14ac:dyDescent="0.25">
      <c r="A75">
        <f t="shared" si="14"/>
        <v>270000</v>
      </c>
      <c r="B75">
        <f t="shared" si="20"/>
        <v>0</v>
      </c>
      <c r="C75">
        <f t="shared" si="21"/>
        <v>0</v>
      </c>
      <c r="D75">
        <f t="shared" si="21"/>
        <v>0</v>
      </c>
      <c r="E75">
        <f t="shared" si="21"/>
        <v>0</v>
      </c>
      <c r="F75">
        <f t="shared" si="22"/>
        <v>0</v>
      </c>
      <c r="G75">
        <f t="shared" si="23"/>
        <v>0</v>
      </c>
      <c r="H75">
        <f t="shared" si="24"/>
        <v>0</v>
      </c>
      <c r="I75">
        <f t="shared" si="25"/>
        <v>0</v>
      </c>
      <c r="J75">
        <f t="shared" si="18"/>
        <v>0</v>
      </c>
      <c r="K75" t="e">
        <f t="shared" si="18"/>
        <v>#VALUE!</v>
      </c>
      <c r="L75" t="e">
        <f t="shared" si="12"/>
        <v>#VALUE!</v>
      </c>
      <c r="M75" t="e">
        <f t="shared" si="18"/>
        <v>#VALUE!</v>
      </c>
      <c r="N75" t="e">
        <f t="shared" si="18"/>
        <v>#VALUE!</v>
      </c>
    </row>
    <row r="76" spans="1:14" x14ac:dyDescent="0.25">
      <c r="A76">
        <f t="shared" si="14"/>
        <v>330000</v>
      </c>
      <c r="B76">
        <f t="shared" si="20"/>
        <v>0</v>
      </c>
      <c r="C76">
        <f t="shared" si="21"/>
        <v>0</v>
      </c>
      <c r="D76">
        <f t="shared" si="21"/>
        <v>0</v>
      </c>
      <c r="E76">
        <f t="shared" si="21"/>
        <v>0</v>
      </c>
      <c r="F76">
        <f t="shared" si="22"/>
        <v>0</v>
      </c>
      <c r="G76">
        <f t="shared" si="23"/>
        <v>330000</v>
      </c>
      <c r="H76">
        <f t="shared" si="24"/>
        <v>0</v>
      </c>
      <c r="I76">
        <f t="shared" si="25"/>
        <v>0</v>
      </c>
      <c r="J76">
        <f t="shared" si="18"/>
        <v>0</v>
      </c>
      <c r="K76" t="e">
        <f t="shared" si="18"/>
        <v>#VALUE!</v>
      </c>
      <c r="L76" t="e">
        <f t="shared" si="12"/>
        <v>#VALUE!</v>
      </c>
      <c r="M76" t="e">
        <f t="shared" si="18"/>
        <v>#VALUE!</v>
      </c>
      <c r="N76" t="e">
        <f t="shared" si="18"/>
        <v>#VALUE!</v>
      </c>
    </row>
    <row r="77" spans="1:14" x14ac:dyDescent="0.25">
      <c r="A77">
        <f t="shared" si="14"/>
        <v>390000</v>
      </c>
      <c r="B77">
        <f t="shared" si="20"/>
        <v>0</v>
      </c>
      <c r="C77">
        <f t="shared" si="21"/>
        <v>0</v>
      </c>
      <c r="D77">
        <f t="shared" si="21"/>
        <v>0</v>
      </c>
      <c r="E77">
        <f t="shared" si="21"/>
        <v>0</v>
      </c>
      <c r="F77">
        <f t="shared" si="22"/>
        <v>0</v>
      </c>
      <c r="G77">
        <f t="shared" si="23"/>
        <v>0</v>
      </c>
      <c r="H77">
        <f t="shared" si="24"/>
        <v>0</v>
      </c>
      <c r="I77">
        <f t="shared" si="25"/>
        <v>0</v>
      </c>
      <c r="J77">
        <f t="shared" si="18"/>
        <v>0</v>
      </c>
      <c r="K77" t="e">
        <f t="shared" si="18"/>
        <v>#VALUE!</v>
      </c>
      <c r="L77" t="e">
        <f t="shared" si="12"/>
        <v>#VALUE!</v>
      </c>
      <c r="M77" t="e">
        <f t="shared" si="18"/>
        <v>#VALUE!</v>
      </c>
      <c r="N77" t="e">
        <f t="shared" si="18"/>
        <v>#VALUE!</v>
      </c>
    </row>
    <row r="78" spans="1:14" x14ac:dyDescent="0.25">
      <c r="A78">
        <f t="shared" si="14"/>
        <v>470000</v>
      </c>
      <c r="B78">
        <f t="shared" si="20"/>
        <v>0</v>
      </c>
      <c r="C78">
        <f t="shared" si="21"/>
        <v>0</v>
      </c>
      <c r="D78">
        <f t="shared" si="21"/>
        <v>0</v>
      </c>
      <c r="E78">
        <f t="shared" si="21"/>
        <v>0</v>
      </c>
      <c r="F78">
        <f t="shared" si="22"/>
        <v>0</v>
      </c>
      <c r="G78">
        <f t="shared" si="23"/>
        <v>0</v>
      </c>
      <c r="H78">
        <f t="shared" si="24"/>
        <v>0</v>
      </c>
      <c r="I78">
        <f t="shared" si="25"/>
        <v>0</v>
      </c>
      <c r="J78">
        <f t="shared" si="18"/>
        <v>0</v>
      </c>
      <c r="K78" t="e">
        <f t="shared" si="18"/>
        <v>#VALUE!</v>
      </c>
      <c r="L78" t="e">
        <f t="shared" si="12"/>
        <v>#VALUE!</v>
      </c>
      <c r="M78" t="e">
        <f t="shared" si="18"/>
        <v>#VALUE!</v>
      </c>
      <c r="N78" t="e">
        <f t="shared" si="18"/>
        <v>#VALUE!</v>
      </c>
    </row>
    <row r="79" spans="1:14" x14ac:dyDescent="0.25">
      <c r="A79">
        <f t="shared" si="14"/>
        <v>560000</v>
      </c>
      <c r="B79">
        <f t="shared" si="20"/>
        <v>0</v>
      </c>
      <c r="C79">
        <f t="shared" si="21"/>
        <v>0</v>
      </c>
      <c r="D79">
        <f t="shared" si="21"/>
        <v>0</v>
      </c>
      <c r="E79">
        <f t="shared" si="21"/>
        <v>0</v>
      </c>
      <c r="F79">
        <f t="shared" si="22"/>
        <v>0</v>
      </c>
      <c r="G79">
        <f t="shared" si="23"/>
        <v>0</v>
      </c>
      <c r="H79">
        <f t="shared" si="24"/>
        <v>0</v>
      </c>
      <c r="I79">
        <f t="shared" si="25"/>
        <v>0</v>
      </c>
      <c r="J79">
        <f t="shared" si="18"/>
        <v>0</v>
      </c>
      <c r="K79" t="e">
        <f t="shared" si="18"/>
        <v>#VALUE!</v>
      </c>
      <c r="L79" t="e">
        <f t="shared" si="12"/>
        <v>#VALUE!</v>
      </c>
      <c r="M79" t="e">
        <f t="shared" si="18"/>
        <v>#VALUE!</v>
      </c>
      <c r="N79" t="e">
        <f t="shared" si="18"/>
        <v>#VALUE!</v>
      </c>
    </row>
    <row r="80" spans="1:14" x14ac:dyDescent="0.25">
      <c r="A80">
        <f t="shared" si="14"/>
        <v>680000</v>
      </c>
      <c r="B80">
        <f t="shared" si="20"/>
        <v>0</v>
      </c>
      <c r="C80">
        <f t="shared" si="21"/>
        <v>0</v>
      </c>
      <c r="D80">
        <f t="shared" si="21"/>
        <v>0</v>
      </c>
      <c r="E80">
        <f t="shared" si="21"/>
        <v>0</v>
      </c>
      <c r="F80">
        <f t="shared" si="22"/>
        <v>0</v>
      </c>
      <c r="G80">
        <f t="shared" si="23"/>
        <v>0</v>
      </c>
      <c r="H80">
        <f t="shared" si="24"/>
        <v>0</v>
      </c>
      <c r="I80">
        <f t="shared" si="25"/>
        <v>0</v>
      </c>
      <c r="J80">
        <f t="shared" si="18"/>
        <v>0</v>
      </c>
      <c r="K80" t="e">
        <f t="shared" si="18"/>
        <v>#VALUE!</v>
      </c>
      <c r="L80" t="e">
        <f t="shared" si="12"/>
        <v>#VALUE!</v>
      </c>
      <c r="M80" t="e">
        <f t="shared" si="18"/>
        <v>#VALUE!</v>
      </c>
      <c r="N80" t="e">
        <f t="shared" si="18"/>
        <v>#VALUE!</v>
      </c>
    </row>
    <row r="81" spans="1:14" x14ac:dyDescent="0.25">
      <c r="A81">
        <f t="shared" si="14"/>
        <v>820000</v>
      </c>
      <c r="B81">
        <f t="shared" si="20"/>
        <v>0</v>
      </c>
      <c r="C81">
        <f t="shared" si="21"/>
        <v>0</v>
      </c>
      <c r="D81">
        <f t="shared" si="21"/>
        <v>0</v>
      </c>
      <c r="E81">
        <f t="shared" si="21"/>
        <v>0</v>
      </c>
      <c r="F81">
        <f t="shared" si="22"/>
        <v>0</v>
      </c>
      <c r="G81">
        <f t="shared" si="23"/>
        <v>0</v>
      </c>
      <c r="H81">
        <f t="shared" si="24"/>
        <v>0</v>
      </c>
      <c r="I81">
        <f t="shared" si="25"/>
        <v>0</v>
      </c>
      <c r="J81">
        <f t="shared" si="18"/>
        <v>0</v>
      </c>
      <c r="K81" t="e">
        <f t="shared" si="18"/>
        <v>#VALUE!</v>
      </c>
      <c r="L81" t="e">
        <f t="shared" si="12"/>
        <v>#VALUE!</v>
      </c>
      <c r="M81" t="e">
        <f t="shared" si="18"/>
        <v>#VALUE!</v>
      </c>
      <c r="N81" t="e">
        <f t="shared" si="18"/>
        <v>#VALUE!</v>
      </c>
    </row>
    <row r="82" spans="1:14" x14ac:dyDescent="0.25">
      <c r="A82">
        <f t="shared" si="14"/>
        <v>1000000</v>
      </c>
      <c r="B82">
        <f t="shared" si="20"/>
        <v>0</v>
      </c>
      <c r="C82">
        <f t="shared" si="21"/>
        <v>0</v>
      </c>
      <c r="D82">
        <f t="shared" si="21"/>
        <v>0</v>
      </c>
      <c r="E82">
        <f t="shared" si="21"/>
        <v>0</v>
      </c>
      <c r="F82">
        <f t="shared" si="22"/>
        <v>0</v>
      </c>
      <c r="G82">
        <f t="shared" si="23"/>
        <v>0</v>
      </c>
      <c r="H82">
        <f t="shared" si="24"/>
        <v>0</v>
      </c>
      <c r="I82">
        <f t="shared" si="25"/>
        <v>0</v>
      </c>
      <c r="J82">
        <f t="shared" si="18"/>
        <v>0</v>
      </c>
      <c r="K82" t="e">
        <f t="shared" si="18"/>
        <v>#VALUE!</v>
      </c>
      <c r="L82" t="e">
        <f t="shared" si="12"/>
        <v>#VALUE!</v>
      </c>
      <c r="M82" t="e">
        <f t="shared" si="18"/>
        <v>#VALUE!</v>
      </c>
      <c r="N82" t="e">
        <f t="shared" si="18"/>
        <v>#VALUE!</v>
      </c>
    </row>
    <row r="83" spans="1:14" x14ac:dyDescent="0.25">
      <c r="A83">
        <f t="shared" si="14"/>
        <v>1200000</v>
      </c>
      <c r="B83">
        <f t="shared" si="20"/>
        <v>0</v>
      </c>
      <c r="C83">
        <f t="shared" si="21"/>
        <v>0</v>
      </c>
      <c r="D83">
        <f t="shared" si="21"/>
        <v>0</v>
      </c>
      <c r="E83">
        <f t="shared" si="21"/>
        <v>0</v>
      </c>
      <c r="F83">
        <f t="shared" si="22"/>
        <v>0</v>
      </c>
      <c r="G83">
        <f t="shared" si="23"/>
        <v>0</v>
      </c>
      <c r="H83">
        <f t="shared" si="24"/>
        <v>0</v>
      </c>
      <c r="I83">
        <f t="shared" si="25"/>
        <v>0</v>
      </c>
      <c r="J83">
        <f t="shared" si="18"/>
        <v>0</v>
      </c>
      <c r="K83" t="e">
        <f t="shared" si="18"/>
        <v>#VALUE!</v>
      </c>
      <c r="L83" t="e">
        <f t="shared" si="12"/>
        <v>#VALUE!</v>
      </c>
      <c r="M83" t="e">
        <f t="shared" si="18"/>
        <v>#VALUE!</v>
      </c>
      <c r="N83" t="e">
        <f t="shared" si="18"/>
        <v>#VALUE!</v>
      </c>
    </row>
    <row r="84" spans="1:14" x14ac:dyDescent="0.25">
      <c r="A84">
        <f t="shared" si="14"/>
        <v>1500000</v>
      </c>
      <c r="B84">
        <f t="shared" si="20"/>
        <v>0</v>
      </c>
      <c r="C84">
        <f t="shared" si="21"/>
        <v>0</v>
      </c>
      <c r="D84">
        <f t="shared" si="21"/>
        <v>0</v>
      </c>
      <c r="E84">
        <f t="shared" si="21"/>
        <v>0</v>
      </c>
      <c r="F84">
        <f t="shared" si="22"/>
        <v>0</v>
      </c>
      <c r="G84">
        <f t="shared" si="23"/>
        <v>0</v>
      </c>
      <c r="H84">
        <f t="shared" si="24"/>
        <v>0</v>
      </c>
      <c r="I84">
        <f t="shared" si="25"/>
        <v>0</v>
      </c>
      <c r="J84">
        <f t="shared" si="18"/>
        <v>0</v>
      </c>
      <c r="K84" t="e">
        <f t="shared" si="18"/>
        <v>#VALUE!</v>
      </c>
      <c r="L84" t="e">
        <f t="shared" si="12"/>
        <v>#VALUE!</v>
      </c>
      <c r="M84" t="e">
        <f t="shared" si="18"/>
        <v>#VALUE!</v>
      </c>
      <c r="N84" t="e">
        <f t="shared" si="18"/>
        <v>#VALUE!</v>
      </c>
    </row>
    <row r="85" spans="1:14" x14ac:dyDescent="0.25">
      <c r="A85">
        <f t="shared" si="14"/>
        <v>1800000</v>
      </c>
      <c r="B85">
        <f t="shared" si="20"/>
        <v>0</v>
      </c>
      <c r="C85">
        <f t="shared" si="21"/>
        <v>0</v>
      </c>
      <c r="D85">
        <f t="shared" si="21"/>
        <v>0</v>
      </c>
      <c r="E85">
        <f t="shared" si="21"/>
        <v>0</v>
      </c>
      <c r="F85">
        <f t="shared" si="22"/>
        <v>0</v>
      </c>
      <c r="G85">
        <f t="shared" si="23"/>
        <v>0</v>
      </c>
      <c r="H85">
        <f t="shared" si="24"/>
        <v>0</v>
      </c>
      <c r="I85">
        <f t="shared" si="25"/>
        <v>0</v>
      </c>
      <c r="J85">
        <f t="shared" si="18"/>
        <v>0</v>
      </c>
      <c r="K85" t="e">
        <f t="shared" si="18"/>
        <v>#VALUE!</v>
      </c>
      <c r="L85" t="e">
        <f t="shared" ref="L85:L131" si="26">IF(IF((L$3*10^12-$A86)*(L$3*10^12-$A85)*-1&lt;0,0,1)*IF(ABS(L$3*10^12-$A86)&gt;(L$3*10^12-$A85),$A85,$A86)=L86,0,IF((L$3*10^12-$A86)*(L$3*10^12-$A85)*-1&lt;0,0,1)*IF(ABS(L$3*10^12-$A86)&gt;(L$3*10^12-$A85),$A85,$A86))</f>
        <v>#VALUE!</v>
      </c>
      <c r="M85" t="e">
        <f t="shared" si="18"/>
        <v>#VALUE!</v>
      </c>
      <c r="N85" t="e">
        <f t="shared" si="18"/>
        <v>#VALUE!</v>
      </c>
    </row>
    <row r="86" spans="1:14" x14ac:dyDescent="0.25">
      <c r="A86">
        <f t="shared" si="14"/>
        <v>2200000</v>
      </c>
      <c r="B86">
        <f t="shared" si="20"/>
        <v>0</v>
      </c>
      <c r="C86">
        <f t="shared" si="21"/>
        <v>0</v>
      </c>
      <c r="D86">
        <f t="shared" si="21"/>
        <v>0</v>
      </c>
      <c r="E86">
        <f t="shared" si="21"/>
        <v>0</v>
      </c>
      <c r="F86">
        <f t="shared" si="22"/>
        <v>0</v>
      </c>
      <c r="G86">
        <f t="shared" si="23"/>
        <v>0</v>
      </c>
      <c r="H86">
        <f t="shared" si="24"/>
        <v>0</v>
      </c>
      <c r="I86">
        <f t="shared" si="25"/>
        <v>0</v>
      </c>
      <c r="J86">
        <f t="shared" si="18"/>
        <v>0</v>
      </c>
      <c r="K86" t="e">
        <f t="shared" si="18"/>
        <v>#VALUE!</v>
      </c>
      <c r="L86" t="e">
        <f t="shared" si="26"/>
        <v>#VALUE!</v>
      </c>
      <c r="M86" t="e">
        <f t="shared" si="18"/>
        <v>#VALUE!</v>
      </c>
      <c r="N86" t="e">
        <f t="shared" si="18"/>
        <v>#VALUE!</v>
      </c>
    </row>
    <row r="87" spans="1:14" x14ac:dyDescent="0.25">
      <c r="A87">
        <f t="shared" si="14"/>
        <v>2700000</v>
      </c>
      <c r="B87">
        <f t="shared" si="20"/>
        <v>0</v>
      </c>
      <c r="C87">
        <f t="shared" si="21"/>
        <v>0</v>
      </c>
      <c r="D87">
        <f t="shared" si="21"/>
        <v>0</v>
      </c>
      <c r="E87">
        <f t="shared" si="21"/>
        <v>0</v>
      </c>
      <c r="F87">
        <f t="shared" si="22"/>
        <v>0</v>
      </c>
      <c r="G87">
        <f t="shared" si="23"/>
        <v>0</v>
      </c>
      <c r="H87">
        <f t="shared" si="24"/>
        <v>0</v>
      </c>
      <c r="I87">
        <f t="shared" si="25"/>
        <v>0</v>
      </c>
      <c r="J87">
        <f t="shared" si="18"/>
        <v>0</v>
      </c>
      <c r="K87" t="e">
        <f t="shared" si="18"/>
        <v>#VALUE!</v>
      </c>
      <c r="L87" t="e">
        <f t="shared" si="26"/>
        <v>#VALUE!</v>
      </c>
      <c r="M87" t="e">
        <f t="shared" si="18"/>
        <v>#VALUE!</v>
      </c>
      <c r="N87" t="e">
        <f t="shared" si="18"/>
        <v>#VALUE!</v>
      </c>
    </row>
    <row r="88" spans="1:14" x14ac:dyDescent="0.25">
      <c r="A88">
        <f t="shared" si="14"/>
        <v>3300000</v>
      </c>
      <c r="B88">
        <f t="shared" si="20"/>
        <v>0</v>
      </c>
      <c r="C88">
        <f t="shared" si="21"/>
        <v>0</v>
      </c>
      <c r="D88">
        <f t="shared" si="21"/>
        <v>0</v>
      </c>
      <c r="E88">
        <f t="shared" si="21"/>
        <v>0</v>
      </c>
      <c r="F88">
        <f t="shared" si="22"/>
        <v>0</v>
      </c>
      <c r="G88">
        <f t="shared" si="23"/>
        <v>0</v>
      </c>
      <c r="H88">
        <f t="shared" si="24"/>
        <v>0</v>
      </c>
      <c r="I88">
        <f t="shared" si="25"/>
        <v>0</v>
      </c>
      <c r="J88">
        <f t="shared" si="18"/>
        <v>0</v>
      </c>
      <c r="K88" t="e">
        <f t="shared" si="18"/>
        <v>#VALUE!</v>
      </c>
      <c r="L88" t="e">
        <f t="shared" si="26"/>
        <v>#VALUE!</v>
      </c>
      <c r="M88" t="e">
        <f t="shared" si="18"/>
        <v>#VALUE!</v>
      </c>
      <c r="N88" t="e">
        <f t="shared" si="18"/>
        <v>#VALUE!</v>
      </c>
    </row>
    <row r="89" spans="1:14" x14ac:dyDescent="0.25">
      <c r="A89">
        <f t="shared" si="14"/>
        <v>3900000</v>
      </c>
      <c r="B89">
        <f t="shared" si="20"/>
        <v>0</v>
      </c>
      <c r="C89">
        <f t="shared" si="21"/>
        <v>0</v>
      </c>
      <c r="D89">
        <f t="shared" si="21"/>
        <v>0</v>
      </c>
      <c r="E89">
        <f t="shared" si="21"/>
        <v>0</v>
      </c>
      <c r="F89">
        <f t="shared" si="22"/>
        <v>0</v>
      </c>
      <c r="G89">
        <f t="shared" si="23"/>
        <v>0</v>
      </c>
      <c r="H89">
        <f t="shared" si="24"/>
        <v>0</v>
      </c>
      <c r="I89">
        <f t="shared" si="25"/>
        <v>0</v>
      </c>
      <c r="J89">
        <f t="shared" si="18"/>
        <v>0</v>
      </c>
      <c r="K89" t="e">
        <f t="shared" si="18"/>
        <v>#VALUE!</v>
      </c>
      <c r="L89" t="e">
        <f t="shared" si="26"/>
        <v>#VALUE!</v>
      </c>
      <c r="M89" t="e">
        <f t="shared" si="18"/>
        <v>#VALUE!</v>
      </c>
      <c r="N89" t="e">
        <f t="shared" si="18"/>
        <v>#VALUE!</v>
      </c>
    </row>
    <row r="90" spans="1:14" x14ac:dyDescent="0.25">
      <c r="A90">
        <f t="shared" si="14"/>
        <v>4700000</v>
      </c>
      <c r="B90">
        <f t="shared" si="20"/>
        <v>0</v>
      </c>
      <c r="C90">
        <f t="shared" si="21"/>
        <v>0</v>
      </c>
      <c r="D90">
        <f t="shared" si="21"/>
        <v>0</v>
      </c>
      <c r="E90">
        <f t="shared" si="21"/>
        <v>0</v>
      </c>
      <c r="F90">
        <f t="shared" si="22"/>
        <v>0</v>
      </c>
      <c r="G90">
        <f t="shared" si="23"/>
        <v>0</v>
      </c>
      <c r="H90">
        <f t="shared" si="24"/>
        <v>0</v>
      </c>
      <c r="I90">
        <f t="shared" si="25"/>
        <v>0</v>
      </c>
      <c r="J90">
        <f t="shared" si="18"/>
        <v>0</v>
      </c>
      <c r="K90" t="e">
        <f t="shared" si="18"/>
        <v>#VALUE!</v>
      </c>
      <c r="L90" t="e">
        <f t="shared" si="26"/>
        <v>#VALUE!</v>
      </c>
      <c r="M90" t="e">
        <f t="shared" si="18"/>
        <v>#VALUE!</v>
      </c>
      <c r="N90" t="e">
        <f t="shared" si="18"/>
        <v>#VALUE!</v>
      </c>
    </row>
    <row r="91" spans="1:14" x14ac:dyDescent="0.25">
      <c r="A91">
        <f t="shared" si="14"/>
        <v>5600000</v>
      </c>
      <c r="B91">
        <f t="shared" si="20"/>
        <v>0</v>
      </c>
      <c r="C91">
        <f t="shared" si="21"/>
        <v>0</v>
      </c>
      <c r="D91">
        <f t="shared" si="21"/>
        <v>0</v>
      </c>
      <c r="E91">
        <f t="shared" si="21"/>
        <v>0</v>
      </c>
      <c r="F91">
        <f t="shared" si="22"/>
        <v>0</v>
      </c>
      <c r="G91">
        <f t="shared" si="23"/>
        <v>0</v>
      </c>
      <c r="H91">
        <f t="shared" si="24"/>
        <v>0</v>
      </c>
      <c r="I91">
        <f t="shared" si="25"/>
        <v>0</v>
      </c>
      <c r="J91">
        <f t="shared" si="18"/>
        <v>0</v>
      </c>
      <c r="K91" t="e">
        <f t="shared" si="18"/>
        <v>#VALUE!</v>
      </c>
      <c r="L91" t="e">
        <f t="shared" si="26"/>
        <v>#VALUE!</v>
      </c>
      <c r="M91" t="e">
        <f t="shared" si="18"/>
        <v>#VALUE!</v>
      </c>
      <c r="N91" t="e">
        <f t="shared" si="18"/>
        <v>#VALUE!</v>
      </c>
    </row>
    <row r="92" spans="1:14" x14ac:dyDescent="0.25">
      <c r="A92">
        <f t="shared" si="14"/>
        <v>6800000</v>
      </c>
      <c r="B92">
        <f t="shared" si="20"/>
        <v>0</v>
      </c>
      <c r="C92">
        <f t="shared" si="21"/>
        <v>0</v>
      </c>
      <c r="D92">
        <f t="shared" si="21"/>
        <v>0</v>
      </c>
      <c r="E92">
        <f t="shared" si="21"/>
        <v>0</v>
      </c>
      <c r="F92">
        <f t="shared" si="22"/>
        <v>0</v>
      </c>
      <c r="G92">
        <f t="shared" si="23"/>
        <v>0</v>
      </c>
      <c r="H92">
        <f t="shared" si="24"/>
        <v>0</v>
      </c>
      <c r="I92">
        <f t="shared" si="25"/>
        <v>0</v>
      </c>
      <c r="J92">
        <f t="shared" si="18"/>
        <v>0</v>
      </c>
      <c r="K92" t="e">
        <f t="shared" si="18"/>
        <v>#VALUE!</v>
      </c>
      <c r="L92" t="e">
        <f t="shared" si="26"/>
        <v>#VALUE!</v>
      </c>
      <c r="M92" t="e">
        <f t="shared" si="18"/>
        <v>#VALUE!</v>
      </c>
      <c r="N92" t="e">
        <f t="shared" si="18"/>
        <v>#VALUE!</v>
      </c>
    </row>
    <row r="93" spans="1:14" x14ac:dyDescent="0.25">
      <c r="A93">
        <f t="shared" si="14"/>
        <v>8200000</v>
      </c>
      <c r="B93">
        <f t="shared" si="20"/>
        <v>0</v>
      </c>
      <c r="C93">
        <f t="shared" si="21"/>
        <v>0</v>
      </c>
      <c r="D93">
        <f t="shared" si="21"/>
        <v>0</v>
      </c>
      <c r="E93">
        <f t="shared" si="21"/>
        <v>0</v>
      </c>
      <c r="F93">
        <f t="shared" si="22"/>
        <v>0</v>
      </c>
      <c r="G93">
        <f t="shared" si="23"/>
        <v>0</v>
      </c>
      <c r="H93">
        <f t="shared" si="24"/>
        <v>0</v>
      </c>
      <c r="I93">
        <f t="shared" si="25"/>
        <v>0</v>
      </c>
      <c r="J93">
        <f t="shared" si="18"/>
        <v>0</v>
      </c>
      <c r="K93" t="e">
        <f t="shared" si="18"/>
        <v>#VALUE!</v>
      </c>
      <c r="L93" t="e">
        <f t="shared" si="26"/>
        <v>#VALUE!</v>
      </c>
      <c r="M93" t="e">
        <f t="shared" si="18"/>
        <v>#VALUE!</v>
      </c>
      <c r="N93" t="e">
        <f t="shared" si="18"/>
        <v>#VALUE!</v>
      </c>
    </row>
    <row r="94" spans="1:14" x14ac:dyDescent="0.25">
      <c r="A94">
        <f t="shared" si="14"/>
        <v>10000000</v>
      </c>
      <c r="B94">
        <f t="shared" si="20"/>
        <v>0</v>
      </c>
      <c r="C94">
        <f t="shared" si="21"/>
        <v>0</v>
      </c>
      <c r="D94">
        <f t="shared" si="21"/>
        <v>0</v>
      </c>
      <c r="E94">
        <f t="shared" si="21"/>
        <v>0</v>
      </c>
      <c r="F94">
        <f t="shared" si="22"/>
        <v>0</v>
      </c>
      <c r="G94">
        <f t="shared" si="23"/>
        <v>0</v>
      </c>
      <c r="H94">
        <f t="shared" si="24"/>
        <v>0</v>
      </c>
      <c r="I94">
        <f t="shared" si="25"/>
        <v>0</v>
      </c>
      <c r="J94">
        <f t="shared" si="18"/>
        <v>0</v>
      </c>
      <c r="K94" t="e">
        <f t="shared" si="18"/>
        <v>#VALUE!</v>
      </c>
      <c r="L94" t="e">
        <f t="shared" si="26"/>
        <v>#VALUE!</v>
      </c>
      <c r="M94" t="e">
        <f t="shared" si="18"/>
        <v>#VALUE!</v>
      </c>
      <c r="N94" t="e">
        <f t="shared" si="18"/>
        <v>#VALUE!</v>
      </c>
    </row>
    <row r="95" spans="1:14" x14ac:dyDescent="0.25">
      <c r="A95">
        <f t="shared" si="14"/>
        <v>12000000</v>
      </c>
      <c r="B95">
        <f t="shared" si="20"/>
        <v>0</v>
      </c>
      <c r="C95">
        <f t="shared" si="21"/>
        <v>0</v>
      </c>
      <c r="D95">
        <f t="shared" si="21"/>
        <v>0</v>
      </c>
      <c r="E95">
        <f t="shared" si="21"/>
        <v>0</v>
      </c>
      <c r="F95">
        <f t="shared" si="22"/>
        <v>0</v>
      </c>
      <c r="G95">
        <f t="shared" si="23"/>
        <v>0</v>
      </c>
      <c r="H95">
        <f t="shared" si="24"/>
        <v>0</v>
      </c>
      <c r="I95">
        <f t="shared" si="25"/>
        <v>0</v>
      </c>
      <c r="J95">
        <f t="shared" si="18"/>
        <v>0</v>
      </c>
      <c r="K95" t="e">
        <f t="shared" si="18"/>
        <v>#VALUE!</v>
      </c>
      <c r="L95" t="e">
        <f t="shared" si="26"/>
        <v>#VALUE!</v>
      </c>
      <c r="M95" t="e">
        <f t="shared" si="18"/>
        <v>#VALUE!</v>
      </c>
      <c r="N95" t="e">
        <f t="shared" si="18"/>
        <v>#VALUE!</v>
      </c>
    </row>
    <row r="96" spans="1:14" x14ac:dyDescent="0.25">
      <c r="A96">
        <f t="shared" si="14"/>
        <v>15000000</v>
      </c>
      <c r="B96">
        <f t="shared" si="20"/>
        <v>0</v>
      </c>
      <c r="C96">
        <f t="shared" si="21"/>
        <v>0</v>
      </c>
      <c r="D96">
        <f t="shared" si="21"/>
        <v>0</v>
      </c>
      <c r="E96">
        <f t="shared" si="21"/>
        <v>0</v>
      </c>
      <c r="F96">
        <f t="shared" si="22"/>
        <v>0</v>
      </c>
      <c r="G96">
        <f t="shared" si="23"/>
        <v>0</v>
      </c>
      <c r="H96">
        <f t="shared" si="24"/>
        <v>0</v>
      </c>
      <c r="I96">
        <f t="shared" si="25"/>
        <v>0</v>
      </c>
      <c r="J96">
        <f t="shared" si="18"/>
        <v>0</v>
      </c>
      <c r="K96" t="e">
        <f t="shared" si="18"/>
        <v>#VALUE!</v>
      </c>
      <c r="L96" t="e">
        <f t="shared" si="26"/>
        <v>#VALUE!</v>
      </c>
      <c r="M96" t="e">
        <f t="shared" si="18"/>
        <v>#VALUE!</v>
      </c>
      <c r="N96" t="e">
        <f t="shared" si="18"/>
        <v>#VALUE!</v>
      </c>
    </row>
    <row r="97" spans="1:14" x14ac:dyDescent="0.25">
      <c r="A97">
        <f t="shared" si="14"/>
        <v>18000000</v>
      </c>
      <c r="B97">
        <f t="shared" si="20"/>
        <v>0</v>
      </c>
      <c r="C97">
        <f t="shared" si="21"/>
        <v>0</v>
      </c>
      <c r="D97">
        <f t="shared" si="21"/>
        <v>0</v>
      </c>
      <c r="E97">
        <f t="shared" si="21"/>
        <v>0</v>
      </c>
      <c r="F97">
        <f t="shared" si="22"/>
        <v>0</v>
      </c>
      <c r="G97">
        <f t="shared" si="23"/>
        <v>0</v>
      </c>
      <c r="H97">
        <f t="shared" si="24"/>
        <v>0</v>
      </c>
      <c r="I97">
        <f t="shared" si="25"/>
        <v>0</v>
      </c>
      <c r="J97">
        <f t="shared" si="18"/>
        <v>0</v>
      </c>
      <c r="K97" t="e">
        <f t="shared" si="18"/>
        <v>#VALUE!</v>
      </c>
      <c r="L97" t="e">
        <f t="shared" si="26"/>
        <v>#VALUE!</v>
      </c>
      <c r="M97" t="e">
        <f t="shared" si="18"/>
        <v>#VALUE!</v>
      </c>
      <c r="N97" t="e">
        <f t="shared" si="18"/>
        <v>#VALUE!</v>
      </c>
    </row>
    <row r="98" spans="1:14" x14ac:dyDescent="0.25">
      <c r="A98">
        <f t="shared" si="14"/>
        <v>22000000</v>
      </c>
      <c r="B98">
        <f t="shared" si="20"/>
        <v>0</v>
      </c>
      <c r="C98">
        <f t="shared" si="21"/>
        <v>0</v>
      </c>
      <c r="D98">
        <f t="shared" si="21"/>
        <v>0</v>
      </c>
      <c r="E98">
        <f t="shared" si="21"/>
        <v>0</v>
      </c>
      <c r="F98">
        <f t="shared" si="22"/>
        <v>0</v>
      </c>
      <c r="G98">
        <f t="shared" si="23"/>
        <v>0</v>
      </c>
      <c r="H98">
        <f t="shared" si="24"/>
        <v>0</v>
      </c>
      <c r="I98">
        <f t="shared" si="25"/>
        <v>0</v>
      </c>
      <c r="J98">
        <f t="shared" si="18"/>
        <v>0</v>
      </c>
      <c r="K98" t="e">
        <f t="shared" si="18"/>
        <v>#VALUE!</v>
      </c>
      <c r="L98" t="e">
        <f t="shared" si="26"/>
        <v>#VALUE!</v>
      </c>
      <c r="M98" t="e">
        <f t="shared" si="18"/>
        <v>#VALUE!</v>
      </c>
      <c r="N98" t="e">
        <f t="shared" si="18"/>
        <v>#VALUE!</v>
      </c>
    </row>
    <row r="99" spans="1:14" x14ac:dyDescent="0.25">
      <c r="A99">
        <f t="shared" ref="A99:A159" si="27">A87*10</f>
        <v>27000000</v>
      </c>
      <c r="B99">
        <f t="shared" si="20"/>
        <v>0</v>
      </c>
      <c r="C99">
        <f t="shared" si="21"/>
        <v>0</v>
      </c>
      <c r="D99">
        <f t="shared" si="21"/>
        <v>0</v>
      </c>
      <c r="E99">
        <f t="shared" si="21"/>
        <v>0</v>
      </c>
      <c r="F99">
        <f t="shared" si="22"/>
        <v>33000000</v>
      </c>
      <c r="G99">
        <f t="shared" si="23"/>
        <v>0</v>
      </c>
      <c r="H99">
        <f t="shared" si="24"/>
        <v>0</v>
      </c>
      <c r="I99">
        <f t="shared" si="25"/>
        <v>0</v>
      </c>
      <c r="J99">
        <f t="shared" si="18"/>
        <v>0</v>
      </c>
      <c r="K99" t="e">
        <f t="shared" si="18"/>
        <v>#VALUE!</v>
      </c>
      <c r="L99" t="e">
        <f t="shared" si="26"/>
        <v>#VALUE!</v>
      </c>
      <c r="M99" t="e">
        <f t="shared" si="18"/>
        <v>#VALUE!</v>
      </c>
      <c r="N99" t="e">
        <f t="shared" si="18"/>
        <v>#VALUE!</v>
      </c>
    </row>
    <row r="100" spans="1:14" x14ac:dyDescent="0.25">
      <c r="A100">
        <f t="shared" si="27"/>
        <v>33000000</v>
      </c>
      <c r="B100">
        <f t="shared" si="20"/>
        <v>0</v>
      </c>
      <c r="C100">
        <f t="shared" si="21"/>
        <v>0</v>
      </c>
      <c r="D100">
        <f t="shared" si="21"/>
        <v>0</v>
      </c>
      <c r="E100">
        <f t="shared" si="21"/>
        <v>0</v>
      </c>
      <c r="F100">
        <f t="shared" si="22"/>
        <v>0</v>
      </c>
      <c r="G100">
        <f t="shared" si="23"/>
        <v>0</v>
      </c>
      <c r="H100">
        <f t="shared" si="24"/>
        <v>0</v>
      </c>
      <c r="I100">
        <f t="shared" si="25"/>
        <v>0</v>
      </c>
      <c r="J100">
        <f t="shared" si="18"/>
        <v>0</v>
      </c>
      <c r="K100" t="e">
        <f t="shared" si="18"/>
        <v>#VALUE!</v>
      </c>
      <c r="L100" t="e">
        <f t="shared" si="26"/>
        <v>#VALUE!</v>
      </c>
      <c r="M100" t="e">
        <f t="shared" si="18"/>
        <v>#VALUE!</v>
      </c>
      <c r="N100" t="e">
        <f t="shared" si="18"/>
        <v>#VALUE!</v>
      </c>
    </row>
    <row r="101" spans="1:14" x14ac:dyDescent="0.25">
      <c r="A101">
        <f t="shared" si="27"/>
        <v>39000000</v>
      </c>
      <c r="B101">
        <f t="shared" si="20"/>
        <v>0</v>
      </c>
      <c r="C101">
        <f t="shared" si="21"/>
        <v>0</v>
      </c>
      <c r="D101">
        <f t="shared" si="21"/>
        <v>0</v>
      </c>
      <c r="E101">
        <f t="shared" si="21"/>
        <v>0</v>
      </c>
      <c r="F101">
        <f t="shared" si="22"/>
        <v>0</v>
      </c>
      <c r="G101">
        <f t="shared" si="23"/>
        <v>0</v>
      </c>
      <c r="H101">
        <f t="shared" si="24"/>
        <v>0</v>
      </c>
      <c r="I101">
        <f t="shared" si="25"/>
        <v>0</v>
      </c>
      <c r="J101">
        <f t="shared" si="18"/>
        <v>0</v>
      </c>
      <c r="K101" t="e">
        <f t="shared" si="18"/>
        <v>#VALUE!</v>
      </c>
      <c r="L101" t="e">
        <f t="shared" si="26"/>
        <v>#VALUE!</v>
      </c>
      <c r="M101" t="e">
        <f t="shared" si="18"/>
        <v>#VALUE!</v>
      </c>
      <c r="N101" t="e">
        <f t="shared" si="18"/>
        <v>#VALUE!</v>
      </c>
    </row>
    <row r="102" spans="1:14" x14ac:dyDescent="0.25">
      <c r="A102">
        <f t="shared" si="27"/>
        <v>47000000</v>
      </c>
      <c r="B102">
        <f t="shared" si="20"/>
        <v>0</v>
      </c>
      <c r="C102">
        <f t="shared" si="21"/>
        <v>0</v>
      </c>
      <c r="D102">
        <f t="shared" si="21"/>
        <v>0</v>
      </c>
      <c r="E102">
        <f t="shared" si="21"/>
        <v>0</v>
      </c>
      <c r="F102">
        <f t="shared" si="22"/>
        <v>0</v>
      </c>
      <c r="G102">
        <f t="shared" si="23"/>
        <v>0</v>
      </c>
      <c r="H102">
        <f t="shared" si="24"/>
        <v>0</v>
      </c>
      <c r="I102">
        <f t="shared" si="25"/>
        <v>0</v>
      </c>
      <c r="J102">
        <f t="shared" si="18"/>
        <v>0</v>
      </c>
      <c r="K102" t="e">
        <f t="shared" si="18"/>
        <v>#VALUE!</v>
      </c>
      <c r="L102" t="e">
        <f t="shared" si="26"/>
        <v>#VALUE!</v>
      </c>
      <c r="M102" t="e">
        <f t="shared" si="18"/>
        <v>#VALUE!</v>
      </c>
      <c r="N102" t="e">
        <f t="shared" si="18"/>
        <v>#VALUE!</v>
      </c>
    </row>
    <row r="103" spans="1:14" x14ac:dyDescent="0.25">
      <c r="A103">
        <f t="shared" si="27"/>
        <v>56000000</v>
      </c>
      <c r="B103">
        <f t="shared" si="20"/>
        <v>0</v>
      </c>
      <c r="C103">
        <f t="shared" si="21"/>
        <v>0</v>
      </c>
      <c r="D103">
        <f t="shared" si="21"/>
        <v>0</v>
      </c>
      <c r="E103">
        <f t="shared" si="21"/>
        <v>0</v>
      </c>
      <c r="F103">
        <f t="shared" ref="F103:F134" si="28">IF(IF((F$3*10^12-$A104)*(F$3*10^12-$A103)*-1&lt;0,0,1)*IF(ABS(F$3*10^12-$A104)&gt;(F$3*10^12-$A103),$A103,$A104)=F104,0,IF((F$3*10^12-$A104)*(F$3*10^12-$A103)*-1&lt;0,0,1)*IF(ABS(F$3*10^12-$A104)&gt;(F$3*10^12-$A103),$A103,$A104))</f>
        <v>0</v>
      </c>
      <c r="G103">
        <f t="shared" ref="G103:G134" si="29">IF(IF((G$3*10^12-$A104)*(G$3*10^12-$A103)*-1&lt;0,0,1)*IF(ABS(G$3*10^12-$A104)&gt;(G$3*10^12-$A103),$A103,$A104)=G104,0,IF((G$3*10^12-$A104)*(G$3*10^12-$A103)*-1&lt;0,0,1)*IF(ABS(G$3*10^12-$A104)&gt;(G$3*10^12-$A103),$A103,$A104))</f>
        <v>0</v>
      </c>
      <c r="H103">
        <f t="shared" ref="H103:H134" si="30">IF(IF((H$3*10^12-$A104)*(H$3*10^12-$A103)*-1&lt;0,0,1)*IF(ABS(H$3*10^12-$A104)&gt;(H$3*10^12-$A103),$A103,$A104)=H104,0,IF((H$3*10^12-$A104)*(H$3*10^12-$A103)*-1&lt;0,0,1)*IF(ABS(H$3*10^12-$A104)&gt;(H$3*10^12-$A103),$A103,$A104))</f>
        <v>0</v>
      </c>
      <c r="I103">
        <f t="shared" ref="I103:I134" si="31">IF(IF((I$3*10^12-$A104)*(I$3*10^12-$A103)*-1&lt;0,0,1)*IF(ABS(I$3*10^12-$A104)&gt;(I$3*10^12-$A103),$A103,$A104)=I104,0,IF((I$3*10^12-$A104)*(I$3*10^12-$A103)*-1&lt;0,0,1)*IF(ABS(I$3*10^12-$A104)&gt;(I$3*10^12-$A103),$A103,$A104))</f>
        <v>0</v>
      </c>
      <c r="J103">
        <f t="shared" si="18"/>
        <v>0</v>
      </c>
      <c r="K103" t="e">
        <f t="shared" si="18"/>
        <v>#VALUE!</v>
      </c>
      <c r="L103" t="e">
        <f t="shared" si="26"/>
        <v>#VALUE!</v>
      </c>
      <c r="M103" t="e">
        <f t="shared" si="18"/>
        <v>#VALUE!</v>
      </c>
      <c r="N103" t="e">
        <f t="shared" si="18"/>
        <v>#VALUE!</v>
      </c>
    </row>
    <row r="104" spans="1:14" x14ac:dyDescent="0.25">
      <c r="A104">
        <f t="shared" si="27"/>
        <v>68000000</v>
      </c>
      <c r="B104">
        <f t="shared" si="20"/>
        <v>0</v>
      </c>
      <c r="C104">
        <f t="shared" si="21"/>
        <v>0</v>
      </c>
      <c r="D104">
        <f t="shared" si="21"/>
        <v>0</v>
      </c>
      <c r="E104">
        <f t="shared" si="21"/>
        <v>0</v>
      </c>
      <c r="F104">
        <f t="shared" si="28"/>
        <v>0</v>
      </c>
      <c r="G104">
        <f t="shared" si="29"/>
        <v>0</v>
      </c>
      <c r="H104">
        <f t="shared" si="30"/>
        <v>0</v>
      </c>
      <c r="I104">
        <f t="shared" si="31"/>
        <v>0</v>
      </c>
      <c r="J104">
        <f t="shared" si="18"/>
        <v>0</v>
      </c>
      <c r="K104" t="e">
        <f t="shared" si="18"/>
        <v>#VALUE!</v>
      </c>
      <c r="L104" t="e">
        <f t="shared" si="26"/>
        <v>#VALUE!</v>
      </c>
      <c r="M104" t="e">
        <f t="shared" si="18"/>
        <v>#VALUE!</v>
      </c>
      <c r="N104" t="e">
        <f t="shared" si="18"/>
        <v>#VALUE!</v>
      </c>
    </row>
    <row r="105" spans="1:14" x14ac:dyDescent="0.25">
      <c r="A105">
        <f t="shared" si="27"/>
        <v>82000000</v>
      </c>
      <c r="B105">
        <f t="shared" si="20"/>
        <v>0</v>
      </c>
      <c r="C105">
        <f t="shared" si="21"/>
        <v>0</v>
      </c>
      <c r="D105">
        <f t="shared" si="21"/>
        <v>0</v>
      </c>
      <c r="E105">
        <f t="shared" si="21"/>
        <v>0</v>
      </c>
      <c r="F105">
        <f t="shared" si="28"/>
        <v>0</v>
      </c>
      <c r="G105">
        <f t="shared" si="29"/>
        <v>0</v>
      </c>
      <c r="H105">
        <f t="shared" si="30"/>
        <v>0</v>
      </c>
      <c r="I105">
        <f t="shared" si="31"/>
        <v>0</v>
      </c>
      <c r="J105">
        <f t="shared" si="18"/>
        <v>0</v>
      </c>
      <c r="K105" t="e">
        <f t="shared" si="18"/>
        <v>#VALUE!</v>
      </c>
      <c r="L105" t="e">
        <f t="shared" si="26"/>
        <v>#VALUE!</v>
      </c>
      <c r="M105" t="e">
        <f t="shared" si="18"/>
        <v>#VALUE!</v>
      </c>
      <c r="N105" t="e">
        <f t="shared" si="18"/>
        <v>#VALUE!</v>
      </c>
    </row>
    <row r="106" spans="1:14" x14ac:dyDescent="0.25">
      <c r="A106">
        <f t="shared" si="27"/>
        <v>100000000</v>
      </c>
      <c r="B106">
        <f t="shared" si="20"/>
        <v>0</v>
      </c>
      <c r="C106">
        <f t="shared" si="21"/>
        <v>0</v>
      </c>
      <c r="D106">
        <f t="shared" si="21"/>
        <v>0</v>
      </c>
      <c r="E106">
        <f t="shared" si="21"/>
        <v>0</v>
      </c>
      <c r="F106">
        <f t="shared" si="28"/>
        <v>0</v>
      </c>
      <c r="G106">
        <f t="shared" si="29"/>
        <v>0</v>
      </c>
      <c r="H106">
        <f t="shared" si="30"/>
        <v>0</v>
      </c>
      <c r="I106">
        <f t="shared" si="31"/>
        <v>0</v>
      </c>
      <c r="J106">
        <f t="shared" si="18"/>
        <v>0</v>
      </c>
      <c r="K106" t="e">
        <f t="shared" si="18"/>
        <v>#VALUE!</v>
      </c>
      <c r="L106" t="e">
        <f t="shared" si="26"/>
        <v>#VALUE!</v>
      </c>
      <c r="M106" t="e">
        <f t="shared" si="18"/>
        <v>#VALUE!</v>
      </c>
      <c r="N106" t="e">
        <f t="shared" si="18"/>
        <v>#VALUE!</v>
      </c>
    </row>
    <row r="107" spans="1:14" x14ac:dyDescent="0.25">
      <c r="A107">
        <f t="shared" si="27"/>
        <v>120000000</v>
      </c>
      <c r="B107">
        <f t="shared" si="20"/>
        <v>0</v>
      </c>
      <c r="C107">
        <f t="shared" si="21"/>
        <v>0</v>
      </c>
      <c r="D107">
        <f t="shared" si="21"/>
        <v>0</v>
      </c>
      <c r="E107">
        <f t="shared" si="21"/>
        <v>0</v>
      </c>
      <c r="F107">
        <f t="shared" si="28"/>
        <v>0</v>
      </c>
      <c r="G107">
        <f t="shared" si="29"/>
        <v>0</v>
      </c>
      <c r="H107">
        <f t="shared" si="30"/>
        <v>0</v>
      </c>
      <c r="I107">
        <f t="shared" si="31"/>
        <v>0</v>
      </c>
      <c r="J107">
        <f t="shared" si="18"/>
        <v>0</v>
      </c>
      <c r="K107" t="e">
        <f t="shared" si="18"/>
        <v>#VALUE!</v>
      </c>
      <c r="L107" t="e">
        <f t="shared" si="26"/>
        <v>#VALUE!</v>
      </c>
      <c r="M107" t="e">
        <f t="shared" si="18"/>
        <v>#VALUE!</v>
      </c>
      <c r="N107" t="e">
        <f t="shared" si="18"/>
        <v>#VALUE!</v>
      </c>
    </row>
    <row r="108" spans="1:14" x14ac:dyDescent="0.25">
      <c r="A108">
        <f t="shared" si="27"/>
        <v>150000000</v>
      </c>
      <c r="B108">
        <f t="shared" si="20"/>
        <v>0</v>
      </c>
      <c r="C108">
        <f t="shared" si="21"/>
        <v>0</v>
      </c>
      <c r="D108">
        <f t="shared" si="21"/>
        <v>0</v>
      </c>
      <c r="E108">
        <f t="shared" si="21"/>
        <v>0</v>
      </c>
      <c r="F108">
        <f t="shared" si="28"/>
        <v>0</v>
      </c>
      <c r="G108">
        <f t="shared" si="29"/>
        <v>0</v>
      </c>
      <c r="H108">
        <f t="shared" si="30"/>
        <v>0</v>
      </c>
      <c r="I108">
        <f t="shared" si="31"/>
        <v>0</v>
      </c>
      <c r="J108">
        <f t="shared" si="18"/>
        <v>0</v>
      </c>
      <c r="K108" t="e">
        <f t="shared" si="18"/>
        <v>#VALUE!</v>
      </c>
      <c r="L108" t="e">
        <f t="shared" si="26"/>
        <v>#VALUE!</v>
      </c>
      <c r="M108" t="e">
        <f t="shared" si="18"/>
        <v>#VALUE!</v>
      </c>
      <c r="N108" t="e">
        <f t="shared" si="18"/>
        <v>#VALUE!</v>
      </c>
    </row>
    <row r="109" spans="1:14" x14ac:dyDescent="0.25">
      <c r="A109">
        <f t="shared" si="27"/>
        <v>180000000</v>
      </c>
      <c r="B109">
        <f t="shared" si="20"/>
        <v>0</v>
      </c>
      <c r="C109">
        <f t="shared" si="21"/>
        <v>0</v>
      </c>
      <c r="D109">
        <f t="shared" si="21"/>
        <v>0</v>
      </c>
      <c r="E109">
        <f t="shared" si="21"/>
        <v>220000000</v>
      </c>
      <c r="F109">
        <f t="shared" si="28"/>
        <v>0</v>
      </c>
      <c r="G109">
        <f t="shared" si="29"/>
        <v>0</v>
      </c>
      <c r="H109">
        <f t="shared" si="30"/>
        <v>0</v>
      </c>
      <c r="I109">
        <f t="shared" si="31"/>
        <v>0</v>
      </c>
      <c r="J109">
        <f t="shared" si="18"/>
        <v>0</v>
      </c>
      <c r="K109" t="e">
        <f t="shared" si="18"/>
        <v>#VALUE!</v>
      </c>
      <c r="L109" t="e">
        <f t="shared" si="26"/>
        <v>#VALUE!</v>
      </c>
      <c r="M109" t="e">
        <f t="shared" si="18"/>
        <v>#VALUE!</v>
      </c>
      <c r="N109" t="e">
        <f t="shared" si="18"/>
        <v>#VALUE!</v>
      </c>
    </row>
    <row r="110" spans="1:14" x14ac:dyDescent="0.25">
      <c r="A110">
        <f t="shared" si="27"/>
        <v>220000000</v>
      </c>
      <c r="B110">
        <f t="shared" si="20"/>
        <v>0</v>
      </c>
      <c r="C110">
        <f t="shared" si="21"/>
        <v>0</v>
      </c>
      <c r="D110">
        <f t="shared" si="21"/>
        <v>0</v>
      </c>
      <c r="E110">
        <f t="shared" si="21"/>
        <v>0</v>
      </c>
      <c r="F110">
        <f t="shared" si="28"/>
        <v>0</v>
      </c>
      <c r="G110">
        <f t="shared" si="29"/>
        <v>0</v>
      </c>
      <c r="H110">
        <f t="shared" si="30"/>
        <v>0</v>
      </c>
      <c r="I110">
        <f t="shared" si="31"/>
        <v>0</v>
      </c>
      <c r="J110">
        <f t="shared" si="18"/>
        <v>0</v>
      </c>
      <c r="K110" t="e">
        <f t="shared" si="18"/>
        <v>#VALUE!</v>
      </c>
      <c r="L110" t="e">
        <f t="shared" si="26"/>
        <v>#VALUE!</v>
      </c>
      <c r="M110" t="e">
        <f t="shared" si="18"/>
        <v>#VALUE!</v>
      </c>
      <c r="N110" t="e">
        <f t="shared" si="18"/>
        <v>#VALUE!</v>
      </c>
    </row>
    <row r="111" spans="1:14" x14ac:dyDescent="0.25">
      <c r="A111">
        <f t="shared" si="27"/>
        <v>270000000</v>
      </c>
      <c r="B111">
        <f t="shared" si="20"/>
        <v>0</v>
      </c>
      <c r="C111">
        <f t="shared" si="21"/>
        <v>0</v>
      </c>
      <c r="D111">
        <f t="shared" si="21"/>
        <v>0</v>
      </c>
      <c r="E111">
        <f t="shared" si="21"/>
        <v>0</v>
      </c>
      <c r="F111">
        <f t="shared" si="28"/>
        <v>0</v>
      </c>
      <c r="G111">
        <f t="shared" si="29"/>
        <v>0</v>
      </c>
      <c r="H111">
        <f t="shared" si="30"/>
        <v>0</v>
      </c>
      <c r="I111">
        <f t="shared" si="31"/>
        <v>0</v>
      </c>
      <c r="J111">
        <f t="shared" si="18"/>
        <v>0</v>
      </c>
      <c r="K111" t="e">
        <f t="shared" si="18"/>
        <v>#VALUE!</v>
      </c>
      <c r="L111" t="e">
        <f t="shared" si="26"/>
        <v>#VALUE!</v>
      </c>
      <c r="M111" t="e">
        <f t="shared" si="18"/>
        <v>#VALUE!</v>
      </c>
      <c r="N111" t="e">
        <f t="shared" si="18"/>
        <v>#VALUE!</v>
      </c>
    </row>
    <row r="112" spans="1:14" x14ac:dyDescent="0.25">
      <c r="A112">
        <f t="shared" si="27"/>
        <v>330000000</v>
      </c>
      <c r="B112">
        <f t="shared" si="20"/>
        <v>0</v>
      </c>
      <c r="C112">
        <f t="shared" si="21"/>
        <v>0</v>
      </c>
      <c r="D112">
        <f t="shared" si="21"/>
        <v>0</v>
      </c>
      <c r="E112">
        <f t="shared" si="21"/>
        <v>0</v>
      </c>
      <c r="F112">
        <f t="shared" si="28"/>
        <v>0</v>
      </c>
      <c r="G112">
        <f t="shared" si="29"/>
        <v>0</v>
      </c>
      <c r="H112">
        <f t="shared" si="30"/>
        <v>0</v>
      </c>
      <c r="I112">
        <f t="shared" si="31"/>
        <v>0</v>
      </c>
      <c r="J112">
        <f t="shared" si="18"/>
        <v>0</v>
      </c>
      <c r="K112" t="e">
        <f t="shared" si="18"/>
        <v>#VALUE!</v>
      </c>
      <c r="L112" t="e">
        <f t="shared" si="26"/>
        <v>#VALUE!</v>
      </c>
      <c r="M112" t="e">
        <f t="shared" si="18"/>
        <v>#VALUE!</v>
      </c>
      <c r="N112" t="e">
        <f t="shared" si="18"/>
        <v>#VALUE!</v>
      </c>
    </row>
    <row r="113" spans="1:14" x14ac:dyDescent="0.25">
      <c r="A113">
        <f t="shared" si="27"/>
        <v>390000000</v>
      </c>
      <c r="B113">
        <f t="shared" si="20"/>
        <v>0</v>
      </c>
      <c r="C113">
        <f t="shared" si="21"/>
        <v>0</v>
      </c>
      <c r="D113">
        <f t="shared" si="21"/>
        <v>0</v>
      </c>
      <c r="E113">
        <f t="shared" si="21"/>
        <v>0</v>
      </c>
      <c r="F113">
        <f t="shared" si="28"/>
        <v>0</v>
      </c>
      <c r="G113">
        <f t="shared" si="29"/>
        <v>0</v>
      </c>
      <c r="H113">
        <f t="shared" si="30"/>
        <v>0</v>
      </c>
      <c r="I113">
        <f t="shared" si="31"/>
        <v>0</v>
      </c>
      <c r="J113">
        <f t="shared" si="18"/>
        <v>0</v>
      </c>
      <c r="K113" t="e">
        <f t="shared" si="18"/>
        <v>#VALUE!</v>
      </c>
      <c r="L113" t="e">
        <f t="shared" si="26"/>
        <v>#VALUE!</v>
      </c>
      <c r="M113" t="e">
        <f t="shared" si="18"/>
        <v>#VALUE!</v>
      </c>
      <c r="N113" t="e">
        <f t="shared" si="18"/>
        <v>#VALUE!</v>
      </c>
    </row>
    <row r="114" spans="1:14" x14ac:dyDescent="0.25">
      <c r="A114">
        <f t="shared" si="27"/>
        <v>470000000</v>
      </c>
      <c r="B114">
        <f t="shared" si="20"/>
        <v>0</v>
      </c>
      <c r="C114">
        <f t="shared" si="21"/>
        <v>0</v>
      </c>
      <c r="D114">
        <f t="shared" si="21"/>
        <v>0</v>
      </c>
      <c r="E114">
        <f t="shared" si="21"/>
        <v>0</v>
      </c>
      <c r="F114">
        <f t="shared" si="28"/>
        <v>0</v>
      </c>
      <c r="G114">
        <f t="shared" si="29"/>
        <v>0</v>
      </c>
      <c r="H114">
        <f t="shared" si="30"/>
        <v>0</v>
      </c>
      <c r="I114">
        <f t="shared" si="31"/>
        <v>0</v>
      </c>
      <c r="J114">
        <f t="shared" si="18"/>
        <v>0</v>
      </c>
      <c r="K114" t="e">
        <f t="shared" si="18"/>
        <v>#VALUE!</v>
      </c>
      <c r="L114" t="e">
        <f t="shared" si="26"/>
        <v>#VALUE!</v>
      </c>
      <c r="M114" t="e">
        <f t="shared" si="18"/>
        <v>#VALUE!</v>
      </c>
      <c r="N114" t="e">
        <f t="shared" si="18"/>
        <v>#VALUE!</v>
      </c>
    </row>
    <row r="115" spans="1:14" x14ac:dyDescent="0.25">
      <c r="A115">
        <f t="shared" si="27"/>
        <v>560000000</v>
      </c>
      <c r="B115">
        <f t="shared" si="20"/>
        <v>0</v>
      </c>
      <c r="C115">
        <f t="shared" si="21"/>
        <v>0</v>
      </c>
      <c r="D115">
        <f t="shared" si="21"/>
        <v>0</v>
      </c>
      <c r="E115">
        <f t="shared" si="21"/>
        <v>0</v>
      </c>
      <c r="F115">
        <f t="shared" si="28"/>
        <v>0</v>
      </c>
      <c r="G115">
        <f t="shared" si="29"/>
        <v>0</v>
      </c>
      <c r="H115">
        <f t="shared" si="30"/>
        <v>0</v>
      </c>
      <c r="I115">
        <f t="shared" si="31"/>
        <v>0</v>
      </c>
      <c r="J115">
        <f t="shared" si="18"/>
        <v>0</v>
      </c>
      <c r="K115" t="e">
        <f t="shared" si="18"/>
        <v>#VALUE!</v>
      </c>
      <c r="L115" t="e">
        <f t="shared" si="26"/>
        <v>#VALUE!</v>
      </c>
      <c r="M115" t="e">
        <f t="shared" si="18"/>
        <v>#VALUE!</v>
      </c>
      <c r="N115" t="e">
        <f t="shared" si="18"/>
        <v>#VALUE!</v>
      </c>
    </row>
    <row r="116" spans="1:14" x14ac:dyDescent="0.25">
      <c r="A116">
        <f t="shared" si="27"/>
        <v>680000000</v>
      </c>
      <c r="B116">
        <f t="shared" si="20"/>
        <v>0</v>
      </c>
      <c r="C116">
        <f t="shared" si="21"/>
        <v>0</v>
      </c>
      <c r="D116">
        <f t="shared" si="21"/>
        <v>0</v>
      </c>
      <c r="E116">
        <f t="shared" si="21"/>
        <v>0</v>
      </c>
      <c r="F116">
        <f t="shared" si="28"/>
        <v>0</v>
      </c>
      <c r="G116">
        <f t="shared" si="29"/>
        <v>0</v>
      </c>
      <c r="H116">
        <f t="shared" si="30"/>
        <v>0</v>
      </c>
      <c r="I116">
        <f t="shared" si="31"/>
        <v>0</v>
      </c>
      <c r="J116">
        <f t="shared" si="18"/>
        <v>0</v>
      </c>
      <c r="K116" t="e">
        <f t="shared" si="18"/>
        <v>#VALUE!</v>
      </c>
      <c r="L116" t="e">
        <f t="shared" si="26"/>
        <v>#VALUE!</v>
      </c>
      <c r="M116" t="e">
        <f t="shared" si="18"/>
        <v>#VALUE!</v>
      </c>
      <c r="N116" t="e">
        <f t="shared" si="18"/>
        <v>#VALUE!</v>
      </c>
    </row>
    <row r="117" spans="1:14" x14ac:dyDescent="0.25">
      <c r="A117">
        <f t="shared" si="27"/>
        <v>820000000</v>
      </c>
      <c r="B117">
        <f t="shared" si="20"/>
        <v>0</v>
      </c>
      <c r="C117">
        <f t="shared" si="21"/>
        <v>0</v>
      </c>
      <c r="D117">
        <f t="shared" si="21"/>
        <v>0</v>
      </c>
      <c r="E117">
        <f t="shared" si="21"/>
        <v>0</v>
      </c>
      <c r="F117">
        <f t="shared" si="28"/>
        <v>0</v>
      </c>
      <c r="G117">
        <f t="shared" si="29"/>
        <v>0</v>
      </c>
      <c r="H117">
        <f t="shared" si="30"/>
        <v>0</v>
      </c>
      <c r="I117">
        <f t="shared" si="31"/>
        <v>0</v>
      </c>
      <c r="J117">
        <f t="shared" si="18"/>
        <v>0</v>
      </c>
      <c r="K117" t="e">
        <f t="shared" si="18"/>
        <v>#VALUE!</v>
      </c>
      <c r="L117" t="e">
        <f t="shared" si="26"/>
        <v>#VALUE!</v>
      </c>
      <c r="M117" t="e">
        <f t="shared" si="18"/>
        <v>#VALUE!</v>
      </c>
      <c r="N117" t="e">
        <f t="shared" si="18"/>
        <v>#VALUE!</v>
      </c>
    </row>
    <row r="118" spans="1:14" x14ac:dyDescent="0.25">
      <c r="A118">
        <f t="shared" si="27"/>
        <v>1000000000</v>
      </c>
      <c r="B118">
        <f t="shared" si="20"/>
        <v>0</v>
      </c>
      <c r="C118">
        <f t="shared" si="21"/>
        <v>0</v>
      </c>
      <c r="D118">
        <f t="shared" si="21"/>
        <v>0</v>
      </c>
      <c r="E118">
        <f t="shared" si="21"/>
        <v>0</v>
      </c>
      <c r="F118">
        <f t="shared" si="28"/>
        <v>0</v>
      </c>
      <c r="G118">
        <f t="shared" si="29"/>
        <v>0</v>
      </c>
      <c r="H118">
        <f t="shared" si="30"/>
        <v>0</v>
      </c>
      <c r="I118">
        <f t="shared" si="31"/>
        <v>0</v>
      </c>
      <c r="J118">
        <f t="shared" si="18"/>
        <v>0</v>
      </c>
      <c r="K118" t="e">
        <f t="shared" si="18"/>
        <v>#VALUE!</v>
      </c>
      <c r="L118" t="e">
        <f t="shared" si="26"/>
        <v>#VALUE!</v>
      </c>
      <c r="M118" t="e">
        <f t="shared" si="18"/>
        <v>#VALUE!</v>
      </c>
      <c r="N118" t="e">
        <f t="shared" si="18"/>
        <v>#VALUE!</v>
      </c>
    </row>
    <row r="119" spans="1:14" x14ac:dyDescent="0.25">
      <c r="A119">
        <f t="shared" si="27"/>
        <v>1200000000</v>
      </c>
      <c r="B119">
        <f t="shared" si="20"/>
        <v>0</v>
      </c>
      <c r="C119">
        <f t="shared" si="21"/>
        <v>0</v>
      </c>
      <c r="D119">
        <f t="shared" si="21"/>
        <v>0</v>
      </c>
      <c r="E119">
        <f t="shared" si="21"/>
        <v>0</v>
      </c>
      <c r="F119">
        <f t="shared" si="28"/>
        <v>0</v>
      </c>
      <c r="G119">
        <f t="shared" si="29"/>
        <v>0</v>
      </c>
      <c r="H119">
        <f t="shared" si="30"/>
        <v>0</v>
      </c>
      <c r="I119">
        <f t="shared" si="31"/>
        <v>0</v>
      </c>
      <c r="J119">
        <f t="shared" si="18"/>
        <v>0</v>
      </c>
      <c r="K119" t="e">
        <f t="shared" si="18"/>
        <v>#VALUE!</v>
      </c>
      <c r="L119" t="e">
        <f t="shared" si="26"/>
        <v>#VALUE!</v>
      </c>
      <c r="M119" t="e">
        <f t="shared" si="18"/>
        <v>#VALUE!</v>
      </c>
      <c r="N119" t="e">
        <f t="shared" si="18"/>
        <v>#VALUE!</v>
      </c>
    </row>
    <row r="120" spans="1:14" x14ac:dyDescent="0.25">
      <c r="A120">
        <f t="shared" si="27"/>
        <v>1500000000</v>
      </c>
      <c r="B120">
        <f t="shared" si="20"/>
        <v>0</v>
      </c>
      <c r="C120">
        <f t="shared" si="21"/>
        <v>0</v>
      </c>
      <c r="D120">
        <f t="shared" si="21"/>
        <v>0</v>
      </c>
      <c r="E120">
        <f t="shared" si="21"/>
        <v>0</v>
      </c>
      <c r="F120">
        <f t="shared" si="28"/>
        <v>0</v>
      </c>
      <c r="G120">
        <f t="shared" si="29"/>
        <v>0</v>
      </c>
      <c r="H120">
        <f t="shared" si="30"/>
        <v>0</v>
      </c>
      <c r="I120">
        <f t="shared" si="31"/>
        <v>0</v>
      </c>
      <c r="J120">
        <f t="shared" si="18"/>
        <v>0</v>
      </c>
      <c r="K120" t="e">
        <f t="shared" si="18"/>
        <v>#VALUE!</v>
      </c>
      <c r="L120" t="e">
        <f t="shared" si="26"/>
        <v>#VALUE!</v>
      </c>
      <c r="M120" t="e">
        <f t="shared" si="18"/>
        <v>#VALUE!</v>
      </c>
      <c r="N120" t="e">
        <f t="shared" si="18"/>
        <v>#VALUE!</v>
      </c>
    </row>
    <row r="121" spans="1:14" x14ac:dyDescent="0.25">
      <c r="A121">
        <f t="shared" si="27"/>
        <v>1800000000</v>
      </c>
      <c r="B121">
        <f t="shared" si="20"/>
        <v>0</v>
      </c>
      <c r="C121">
        <f t="shared" si="21"/>
        <v>0</v>
      </c>
      <c r="D121">
        <f t="shared" si="21"/>
        <v>0</v>
      </c>
      <c r="E121">
        <f t="shared" si="21"/>
        <v>0</v>
      </c>
      <c r="F121">
        <f t="shared" si="28"/>
        <v>0</v>
      </c>
      <c r="G121">
        <f t="shared" si="29"/>
        <v>0</v>
      </c>
      <c r="H121">
        <f t="shared" si="30"/>
        <v>0</v>
      </c>
      <c r="I121">
        <f t="shared" si="31"/>
        <v>0</v>
      </c>
      <c r="J121">
        <f t="shared" si="18"/>
        <v>0</v>
      </c>
      <c r="K121" t="e">
        <f t="shared" si="18"/>
        <v>#VALUE!</v>
      </c>
      <c r="L121" t="e">
        <f t="shared" si="26"/>
        <v>#VALUE!</v>
      </c>
      <c r="M121" t="e">
        <f t="shared" si="18"/>
        <v>#VALUE!</v>
      </c>
      <c r="N121" t="e">
        <f t="shared" si="18"/>
        <v>#VALUE!</v>
      </c>
    </row>
    <row r="122" spans="1:14" x14ac:dyDescent="0.25">
      <c r="A122">
        <f t="shared" si="27"/>
        <v>2200000000</v>
      </c>
      <c r="B122">
        <f t="shared" si="20"/>
        <v>0</v>
      </c>
      <c r="C122">
        <f t="shared" si="21"/>
        <v>0</v>
      </c>
      <c r="D122">
        <f t="shared" si="21"/>
        <v>0</v>
      </c>
      <c r="E122">
        <f t="shared" si="21"/>
        <v>0</v>
      </c>
      <c r="F122">
        <f t="shared" si="28"/>
        <v>0</v>
      </c>
      <c r="G122">
        <f t="shared" si="29"/>
        <v>0</v>
      </c>
      <c r="H122">
        <f t="shared" si="30"/>
        <v>0</v>
      </c>
      <c r="I122">
        <f t="shared" si="31"/>
        <v>0</v>
      </c>
      <c r="J122">
        <f t="shared" si="18"/>
        <v>0</v>
      </c>
      <c r="K122" t="e">
        <f t="shared" si="18"/>
        <v>#VALUE!</v>
      </c>
      <c r="L122" t="e">
        <f t="shared" si="26"/>
        <v>#VALUE!</v>
      </c>
      <c r="M122" t="e">
        <f t="shared" si="18"/>
        <v>#VALUE!</v>
      </c>
      <c r="N122" t="e">
        <f t="shared" si="18"/>
        <v>#VALUE!</v>
      </c>
    </row>
    <row r="123" spans="1:14" x14ac:dyDescent="0.25">
      <c r="A123">
        <f t="shared" si="27"/>
        <v>2700000000</v>
      </c>
      <c r="B123">
        <f t="shared" si="20"/>
        <v>0</v>
      </c>
      <c r="C123">
        <f t="shared" si="21"/>
        <v>0</v>
      </c>
      <c r="D123">
        <f t="shared" si="21"/>
        <v>0</v>
      </c>
      <c r="E123">
        <f t="shared" si="21"/>
        <v>0</v>
      </c>
      <c r="F123">
        <f t="shared" si="28"/>
        <v>0</v>
      </c>
      <c r="G123">
        <f t="shared" si="29"/>
        <v>0</v>
      </c>
      <c r="H123">
        <f t="shared" si="30"/>
        <v>0</v>
      </c>
      <c r="I123">
        <f t="shared" si="31"/>
        <v>0</v>
      </c>
      <c r="J123">
        <f t="shared" si="18"/>
        <v>0</v>
      </c>
      <c r="K123" t="e">
        <f t="shared" si="18"/>
        <v>#VALUE!</v>
      </c>
      <c r="L123" t="e">
        <f t="shared" si="26"/>
        <v>#VALUE!</v>
      </c>
      <c r="M123" t="e">
        <f t="shared" si="18"/>
        <v>#VALUE!</v>
      </c>
      <c r="N123" t="e">
        <f t="shared" si="18"/>
        <v>#VALUE!</v>
      </c>
    </row>
    <row r="124" spans="1:14" x14ac:dyDescent="0.25">
      <c r="A124">
        <f t="shared" si="27"/>
        <v>3300000000</v>
      </c>
      <c r="B124">
        <f t="shared" si="20"/>
        <v>0</v>
      </c>
      <c r="C124">
        <f t="shared" si="21"/>
        <v>0</v>
      </c>
      <c r="D124">
        <f t="shared" si="21"/>
        <v>0</v>
      </c>
      <c r="E124">
        <f t="shared" si="21"/>
        <v>0</v>
      </c>
      <c r="F124">
        <f t="shared" si="28"/>
        <v>0</v>
      </c>
      <c r="G124">
        <f t="shared" si="29"/>
        <v>0</v>
      </c>
      <c r="H124">
        <f t="shared" si="30"/>
        <v>0</v>
      </c>
      <c r="I124">
        <f t="shared" si="31"/>
        <v>0</v>
      </c>
      <c r="J124">
        <f t="shared" si="18"/>
        <v>0</v>
      </c>
      <c r="K124" t="e">
        <f t="shared" si="18"/>
        <v>#VALUE!</v>
      </c>
      <c r="L124" t="e">
        <f t="shared" si="26"/>
        <v>#VALUE!</v>
      </c>
      <c r="M124" t="e">
        <f t="shared" si="18"/>
        <v>#VALUE!</v>
      </c>
      <c r="N124" t="e">
        <f t="shared" si="18"/>
        <v>#VALUE!</v>
      </c>
    </row>
    <row r="125" spans="1:14" x14ac:dyDescent="0.25">
      <c r="A125">
        <f t="shared" si="27"/>
        <v>3900000000</v>
      </c>
      <c r="B125">
        <f t="shared" si="20"/>
        <v>0</v>
      </c>
      <c r="C125">
        <f t="shared" si="21"/>
        <v>0</v>
      </c>
      <c r="D125">
        <f t="shared" si="21"/>
        <v>0</v>
      </c>
      <c r="E125">
        <f t="shared" si="21"/>
        <v>0</v>
      </c>
      <c r="F125">
        <f t="shared" si="28"/>
        <v>0</v>
      </c>
      <c r="G125">
        <f t="shared" si="29"/>
        <v>0</v>
      </c>
      <c r="H125">
        <f t="shared" si="30"/>
        <v>0</v>
      </c>
      <c r="I125">
        <f t="shared" si="31"/>
        <v>0</v>
      </c>
      <c r="J125">
        <f t="shared" si="18"/>
        <v>0</v>
      </c>
      <c r="K125" t="e">
        <f t="shared" si="18"/>
        <v>#VALUE!</v>
      </c>
      <c r="L125" t="e">
        <f t="shared" si="26"/>
        <v>#VALUE!</v>
      </c>
      <c r="M125" t="e">
        <f t="shared" si="18"/>
        <v>#VALUE!</v>
      </c>
      <c r="N125" t="e">
        <f t="shared" si="18"/>
        <v>#VALUE!</v>
      </c>
    </row>
    <row r="126" spans="1:14" x14ac:dyDescent="0.25">
      <c r="A126">
        <f t="shared" si="27"/>
        <v>4700000000</v>
      </c>
      <c r="B126">
        <f t="shared" si="20"/>
        <v>0</v>
      </c>
      <c r="C126">
        <f t="shared" si="21"/>
        <v>0</v>
      </c>
      <c r="D126">
        <f t="shared" si="21"/>
        <v>0</v>
      </c>
      <c r="E126">
        <f t="shared" si="21"/>
        <v>0</v>
      </c>
      <c r="F126">
        <f t="shared" si="28"/>
        <v>0</v>
      </c>
      <c r="G126">
        <f t="shared" si="29"/>
        <v>0</v>
      </c>
      <c r="H126">
        <f t="shared" si="30"/>
        <v>0</v>
      </c>
      <c r="I126">
        <f t="shared" si="31"/>
        <v>0</v>
      </c>
      <c r="J126">
        <f t="shared" si="18"/>
        <v>0</v>
      </c>
      <c r="K126" t="e">
        <f t="shared" si="18"/>
        <v>#VALUE!</v>
      </c>
      <c r="L126" t="e">
        <f t="shared" si="26"/>
        <v>#VALUE!</v>
      </c>
      <c r="M126" t="e">
        <f t="shared" si="18"/>
        <v>#VALUE!</v>
      </c>
      <c r="N126" t="e">
        <f t="shared" si="18"/>
        <v>#VALUE!</v>
      </c>
    </row>
    <row r="127" spans="1:14" x14ac:dyDescent="0.25">
      <c r="A127">
        <f t="shared" si="27"/>
        <v>5600000000</v>
      </c>
      <c r="B127">
        <f t="shared" si="20"/>
        <v>0</v>
      </c>
      <c r="C127">
        <f t="shared" si="21"/>
        <v>0</v>
      </c>
      <c r="D127">
        <f t="shared" si="21"/>
        <v>0</v>
      </c>
      <c r="E127">
        <f t="shared" si="21"/>
        <v>0</v>
      </c>
      <c r="F127">
        <f t="shared" si="28"/>
        <v>0</v>
      </c>
      <c r="G127">
        <f t="shared" si="29"/>
        <v>0</v>
      </c>
      <c r="H127">
        <f t="shared" si="30"/>
        <v>0</v>
      </c>
      <c r="I127">
        <f t="shared" si="31"/>
        <v>0</v>
      </c>
      <c r="J127">
        <f t="shared" si="18"/>
        <v>0</v>
      </c>
      <c r="K127" t="e">
        <f t="shared" si="18"/>
        <v>#VALUE!</v>
      </c>
      <c r="L127" t="e">
        <f t="shared" si="26"/>
        <v>#VALUE!</v>
      </c>
      <c r="M127" t="e">
        <f t="shared" si="18"/>
        <v>#VALUE!</v>
      </c>
      <c r="N127" t="e">
        <f t="shared" si="18"/>
        <v>#VALUE!</v>
      </c>
    </row>
    <row r="128" spans="1:14" x14ac:dyDescent="0.25">
      <c r="A128">
        <f t="shared" si="27"/>
        <v>6800000000</v>
      </c>
      <c r="B128">
        <f t="shared" si="20"/>
        <v>0</v>
      </c>
      <c r="C128">
        <f t="shared" si="21"/>
        <v>0</v>
      </c>
      <c r="D128">
        <f t="shared" si="21"/>
        <v>0</v>
      </c>
      <c r="E128">
        <f t="shared" si="21"/>
        <v>0</v>
      </c>
      <c r="F128">
        <f t="shared" si="28"/>
        <v>0</v>
      </c>
      <c r="G128">
        <f t="shared" si="29"/>
        <v>0</v>
      </c>
      <c r="H128">
        <f t="shared" si="30"/>
        <v>0</v>
      </c>
      <c r="I128">
        <f t="shared" si="31"/>
        <v>0</v>
      </c>
      <c r="J128">
        <f t="shared" si="18"/>
        <v>0</v>
      </c>
      <c r="K128" t="e">
        <f t="shared" si="18"/>
        <v>#VALUE!</v>
      </c>
      <c r="L128" t="e">
        <f t="shared" si="26"/>
        <v>#VALUE!</v>
      </c>
      <c r="M128" t="e">
        <f t="shared" si="18"/>
        <v>#VALUE!</v>
      </c>
      <c r="N128" t="e">
        <f t="shared" si="18"/>
        <v>#VALUE!</v>
      </c>
    </row>
    <row r="129" spans="1:14" x14ac:dyDescent="0.25">
      <c r="A129">
        <f t="shared" si="27"/>
        <v>8200000000</v>
      </c>
      <c r="B129">
        <f t="shared" si="20"/>
        <v>0</v>
      </c>
      <c r="C129">
        <f t="shared" si="21"/>
        <v>0</v>
      </c>
      <c r="D129">
        <f t="shared" si="21"/>
        <v>0</v>
      </c>
      <c r="E129">
        <f t="shared" si="21"/>
        <v>0</v>
      </c>
      <c r="F129">
        <f t="shared" si="28"/>
        <v>0</v>
      </c>
      <c r="G129">
        <f t="shared" si="29"/>
        <v>0</v>
      </c>
      <c r="H129">
        <f t="shared" si="30"/>
        <v>0</v>
      </c>
      <c r="I129">
        <f t="shared" si="31"/>
        <v>0</v>
      </c>
      <c r="J129">
        <f t="shared" si="18"/>
        <v>0</v>
      </c>
      <c r="K129" t="e">
        <f t="shared" si="18"/>
        <v>#VALUE!</v>
      </c>
      <c r="L129" t="e">
        <f t="shared" si="26"/>
        <v>#VALUE!</v>
      </c>
      <c r="M129" t="e">
        <f t="shared" si="18"/>
        <v>#VALUE!</v>
      </c>
      <c r="N129" t="e">
        <f t="shared" si="18"/>
        <v>#VALUE!</v>
      </c>
    </row>
    <row r="130" spans="1:14" x14ac:dyDescent="0.25">
      <c r="A130">
        <f t="shared" si="27"/>
        <v>10000000000</v>
      </c>
      <c r="B130">
        <f t="shared" si="20"/>
        <v>0</v>
      </c>
      <c r="C130">
        <f t="shared" si="21"/>
        <v>0</v>
      </c>
      <c r="D130">
        <f t="shared" si="21"/>
        <v>0</v>
      </c>
      <c r="E130">
        <f t="shared" si="21"/>
        <v>0</v>
      </c>
      <c r="F130">
        <f t="shared" si="28"/>
        <v>0</v>
      </c>
      <c r="G130">
        <f t="shared" si="29"/>
        <v>0</v>
      </c>
      <c r="H130">
        <f t="shared" si="30"/>
        <v>0</v>
      </c>
      <c r="I130">
        <f t="shared" si="31"/>
        <v>0</v>
      </c>
      <c r="J130">
        <f t="shared" si="18"/>
        <v>0</v>
      </c>
      <c r="K130" t="e">
        <f t="shared" si="18"/>
        <v>#VALUE!</v>
      </c>
      <c r="L130" t="e">
        <f t="shared" si="26"/>
        <v>#VALUE!</v>
      </c>
      <c r="M130" t="e">
        <f t="shared" si="18"/>
        <v>#VALUE!</v>
      </c>
      <c r="N130" t="e">
        <f t="shared" si="18"/>
        <v>#VALUE!</v>
      </c>
    </row>
    <row r="131" spans="1:14" x14ac:dyDescent="0.25">
      <c r="A131">
        <f t="shared" si="27"/>
        <v>12000000000</v>
      </c>
      <c r="B131">
        <f t="shared" si="20"/>
        <v>0</v>
      </c>
      <c r="C131">
        <f t="shared" si="21"/>
        <v>0</v>
      </c>
      <c r="D131">
        <f t="shared" si="21"/>
        <v>0</v>
      </c>
      <c r="E131">
        <f t="shared" si="21"/>
        <v>0</v>
      </c>
      <c r="F131">
        <f t="shared" si="28"/>
        <v>0</v>
      </c>
      <c r="G131">
        <f t="shared" si="29"/>
        <v>0</v>
      </c>
      <c r="H131">
        <f t="shared" si="30"/>
        <v>0</v>
      </c>
      <c r="I131">
        <f t="shared" si="31"/>
        <v>0</v>
      </c>
      <c r="J131">
        <f t="shared" si="18"/>
        <v>0</v>
      </c>
      <c r="K131" t="e">
        <f t="shared" si="18"/>
        <v>#VALUE!</v>
      </c>
      <c r="L131" t="e">
        <f t="shared" si="26"/>
        <v>#VALUE!</v>
      </c>
      <c r="M131" t="e">
        <f t="shared" si="18"/>
        <v>#VALUE!</v>
      </c>
      <c r="N131" t="e">
        <f t="shared" si="18"/>
        <v>#VALUE!</v>
      </c>
    </row>
    <row r="132" spans="1:14" x14ac:dyDescent="0.25">
      <c r="A132">
        <f t="shared" si="27"/>
        <v>15000000000</v>
      </c>
      <c r="B132">
        <f t="shared" si="20"/>
        <v>0</v>
      </c>
      <c r="C132">
        <f t="shared" si="21"/>
        <v>0</v>
      </c>
      <c r="D132">
        <f t="shared" si="21"/>
        <v>0</v>
      </c>
      <c r="E132">
        <f t="shared" si="21"/>
        <v>0</v>
      </c>
      <c r="F132">
        <f t="shared" si="28"/>
        <v>0</v>
      </c>
      <c r="G132">
        <f t="shared" si="29"/>
        <v>0</v>
      </c>
      <c r="H132">
        <f t="shared" si="30"/>
        <v>0</v>
      </c>
      <c r="I132">
        <f t="shared" si="31"/>
        <v>0</v>
      </c>
      <c r="J132">
        <f t="shared" si="18"/>
        <v>0</v>
      </c>
      <c r="K132" t="e">
        <f>IF(IF((K$3*10^12-$A133)*(K$3*10^12-$A132)*-1&lt;0,0,1)*IF(ABS(K$3*10^12-$A133)&gt;(K$3*10^12-$A132),$A132,$A133)=K133,0,IF((K$3*10^12-$A133)*(K$3*10^12-$A132)*-1&lt;0,0,1)*IF(ABS(K$3*10^12-$A133)&gt;(K$3*10^12-$A132),$A132,$A133))</f>
        <v>#VALUE!</v>
      </c>
      <c r="L132" t="e">
        <f>IF(IF((L$3*10^12-$A133)*(L$3*10^12-$A132)*-1&lt;0,0,1)*IF(ABS(L$3*10^12-$A133)&gt;(L$3*10^12-$A132),$A132,$A133)=L133,0,IF((L$3*10^12-$A133)*(L$3*10^12-$A132)*-1&lt;0,0,1)*IF(ABS(L$3*10^12-$A133)&gt;(L$3*10^12-$A132),$A132,$A133))</f>
        <v>#VALUE!</v>
      </c>
      <c r="M132" t="e">
        <f t="shared" si="18"/>
        <v>#VALUE!</v>
      </c>
      <c r="N132" t="e">
        <f t="shared" si="18"/>
        <v>#VALUE!</v>
      </c>
    </row>
    <row r="133" spans="1:14" x14ac:dyDescent="0.25">
      <c r="A133">
        <f t="shared" si="27"/>
        <v>18000000000</v>
      </c>
      <c r="B133">
        <f t="shared" si="20"/>
        <v>0</v>
      </c>
      <c r="C133">
        <f t="shared" si="21"/>
        <v>0</v>
      </c>
      <c r="D133">
        <f t="shared" si="21"/>
        <v>0</v>
      </c>
      <c r="E133">
        <f t="shared" si="21"/>
        <v>0</v>
      </c>
      <c r="F133">
        <f t="shared" si="28"/>
        <v>0</v>
      </c>
      <c r="G133">
        <f t="shared" si="29"/>
        <v>0</v>
      </c>
      <c r="H133">
        <f t="shared" si="30"/>
        <v>0</v>
      </c>
      <c r="I133">
        <f t="shared" si="31"/>
        <v>0</v>
      </c>
      <c r="J133">
        <f t="shared" ref="J133:L134" si="32">IF(IF((J$3*10^12-$A134)*(J$3*10^12-$A133)*-1&lt;0,0,1)*IF(ABS(J$3*10^12-$A134)&gt;(J$3*10^12-$A133),$A133,$A134)=J134,0,IF((J$3*10^12-$A134)*(J$3*10^12-$A133)*-1&lt;0,0,1)*IF(ABS(J$3*10^12-$A134)&gt;(J$3*10^12-$A133),$A133,$A134))</f>
        <v>0</v>
      </c>
      <c r="K133" t="e">
        <f t="shared" si="32"/>
        <v>#VALUE!</v>
      </c>
      <c r="L133" t="e">
        <f t="shared" si="32"/>
        <v>#VALUE!</v>
      </c>
      <c r="M133" t="e">
        <f>IF(IF((M$3*10^12-$A134)*(M$3*10^12-$A133)*-1&lt;0,0,1)*IF(ABS(M$3*10^12-$A134)&gt;(M$3*10^12-$A133),$A133,$A134)=M134,0,IF((M$3*10^12-$A134)*(M$3*10^12-$A133)*-1&lt;0,0,1)*IF(ABS(M$3*10^12-$A134)&gt;(M$3*10^12-$A133),$A133,$A134))</f>
        <v>#VALUE!</v>
      </c>
      <c r="N133" t="e">
        <f>IF(IF((N$3*10^12-$A134)*(N$3*10^12-$A133)*-1&lt;0,0,1)*IF(ABS(N$3*10^12-$A134)&gt;(N$3*10^12-$A133),$A133,$A134)=N134,0,IF((N$3*10^12-$A134)*(N$3*10^12-$A133)*-1&lt;0,0,1)*IF(ABS(N$3*10^12-$A134)&gt;(N$3*10^12-$A133),$A133,$A134))</f>
        <v>#VALUE!</v>
      </c>
    </row>
    <row r="134" spans="1:14" x14ac:dyDescent="0.25">
      <c r="A134">
        <f t="shared" si="27"/>
        <v>22000000000</v>
      </c>
      <c r="B134">
        <f t="shared" si="20"/>
        <v>0</v>
      </c>
      <c r="C134">
        <f t="shared" si="21"/>
        <v>0</v>
      </c>
      <c r="D134">
        <f t="shared" si="21"/>
        <v>0</v>
      </c>
      <c r="E134">
        <f t="shared" ref="E134:N159" si="33">IF(IF((E$3*10^12-$A135)*(E$3*10^12-$A134)*-1&lt;0,0,1)*IF(ABS(E$3*10^12-$A135)&gt;(E$3*10^12-$A134),$A134,$A135)=E135,0,IF((E$3*10^12-$A135)*(E$3*10^12-$A134)*-1&lt;0,0,1)*IF(ABS(E$3*10^12-$A135)&gt;(E$3*10^12-$A134),$A134,$A135))</f>
        <v>0</v>
      </c>
      <c r="F134">
        <f t="shared" si="28"/>
        <v>0</v>
      </c>
      <c r="G134">
        <f t="shared" si="29"/>
        <v>0</v>
      </c>
      <c r="H134">
        <f t="shared" si="30"/>
        <v>0</v>
      </c>
      <c r="I134">
        <f t="shared" si="31"/>
        <v>0</v>
      </c>
      <c r="J134">
        <f t="shared" si="32"/>
        <v>0</v>
      </c>
      <c r="K134" t="e">
        <f t="shared" si="32"/>
        <v>#VALUE!</v>
      </c>
      <c r="L134" t="e">
        <f t="shared" si="32"/>
        <v>#VALUE!</v>
      </c>
      <c r="M134" t="e">
        <f>IF(IF((M$3*10^12-$A135)*(M$3*10^12-$A134)*-1&lt;0,0,1)*IF(ABS(M$3*10^12-$A135)&gt;(M$3*10^12-$A134),$A134,$A135)=M135,0,IF((M$3*10^12-$A135)*(M$3*10^12-$A134)*-1&lt;0,0,1)*IF(ABS(M$3*10^12-$A135)&gt;(M$3*10^12-$A134),$A134,$A135))</f>
        <v>#VALUE!</v>
      </c>
      <c r="N134" t="e">
        <f>IF(IF((N$3*10^12-$A135)*(N$3*10^12-$A134)*-1&lt;0,0,1)*IF(ABS(N$3*10^12-$A135)&gt;(N$3*10^12-$A134),$A134,$A135)=N135,0,IF((N$3*10^12-$A135)*(N$3*10^12-$A134)*-1&lt;0,0,1)*IF(ABS(N$3*10^12-$A135)&gt;(N$3*10^12-$A134),$A134,$A135))</f>
        <v>#VALUE!</v>
      </c>
    </row>
    <row r="135" spans="1:14" x14ac:dyDescent="0.25">
      <c r="A135">
        <f t="shared" si="27"/>
        <v>27000000000</v>
      </c>
      <c r="B135">
        <f t="shared" ref="B135:B159" si="34">IF(IF((B$3*10^12-$A136)*(B$3*10^12-$A135)*-1&lt;0,0,1)*IF(ABS(B$3*10^12-$A136)&gt;(B$3*10^12-$A135),$A135,$A136)=B136,0,IF((B$3*10^12-$A136)*(B$3*10^12-$A135)*-1&lt;0,0,1)*IF(ABS(B$3*10^12-$A136)&gt;(B$3*10^12-$A135),$A135,$A136))</f>
        <v>0</v>
      </c>
      <c r="C135">
        <f t="shared" ref="C135:D159" si="35">IF(IF((C$3*10^12-$A136)*(C$3*10^12-$A135)*-1&lt;0,0,1)*IF(ABS(C$3*10^12-$A136)&gt;(C$3*10^12-$A135),$A135,$A136)=C136,0,IF((C$3*10^12-$A136)*(C$3*10^12-$A135)*-1&lt;0,0,1)*IF(ABS(C$3*10^12-$A136)&gt;(C$3*10^12-$A135),$A135,$A136))</f>
        <v>0</v>
      </c>
      <c r="D135">
        <f t="shared" si="35"/>
        <v>0</v>
      </c>
      <c r="E135">
        <f t="shared" si="33"/>
        <v>0</v>
      </c>
      <c r="F135">
        <f t="shared" si="33"/>
        <v>0</v>
      </c>
      <c r="G135">
        <f t="shared" si="33"/>
        <v>0</v>
      </c>
      <c r="H135">
        <f t="shared" si="33"/>
        <v>0</v>
      </c>
      <c r="I135">
        <f t="shared" si="33"/>
        <v>0</v>
      </c>
      <c r="J135">
        <f t="shared" si="33"/>
        <v>0</v>
      </c>
      <c r="K135" t="e">
        <f t="shared" si="33"/>
        <v>#VALUE!</v>
      </c>
      <c r="L135" t="e">
        <f t="shared" si="33"/>
        <v>#VALUE!</v>
      </c>
      <c r="M135" t="e">
        <f t="shared" si="33"/>
        <v>#VALUE!</v>
      </c>
      <c r="N135" t="e">
        <f t="shared" si="33"/>
        <v>#VALUE!</v>
      </c>
    </row>
    <row r="136" spans="1:14" x14ac:dyDescent="0.25">
      <c r="A136">
        <f t="shared" si="27"/>
        <v>33000000000</v>
      </c>
      <c r="B136">
        <f t="shared" si="34"/>
        <v>0</v>
      </c>
      <c r="C136">
        <f t="shared" si="35"/>
        <v>0</v>
      </c>
      <c r="D136">
        <f t="shared" si="35"/>
        <v>0</v>
      </c>
      <c r="E136">
        <f t="shared" si="33"/>
        <v>0</v>
      </c>
      <c r="F136">
        <f t="shared" si="33"/>
        <v>0</v>
      </c>
      <c r="G136">
        <f t="shared" si="33"/>
        <v>0</v>
      </c>
      <c r="H136">
        <f t="shared" si="33"/>
        <v>0</v>
      </c>
      <c r="I136">
        <f t="shared" si="33"/>
        <v>0</v>
      </c>
      <c r="J136">
        <f t="shared" si="33"/>
        <v>0</v>
      </c>
      <c r="K136" t="e">
        <f t="shared" si="33"/>
        <v>#VALUE!</v>
      </c>
      <c r="L136" t="e">
        <f t="shared" si="33"/>
        <v>#VALUE!</v>
      </c>
      <c r="M136" t="e">
        <f t="shared" si="33"/>
        <v>#VALUE!</v>
      </c>
      <c r="N136" t="e">
        <f t="shared" si="33"/>
        <v>#VALUE!</v>
      </c>
    </row>
    <row r="137" spans="1:14" x14ac:dyDescent="0.25">
      <c r="A137">
        <f t="shared" si="27"/>
        <v>39000000000</v>
      </c>
      <c r="B137">
        <f t="shared" si="34"/>
        <v>0</v>
      </c>
      <c r="C137">
        <f t="shared" si="35"/>
        <v>0</v>
      </c>
      <c r="D137">
        <f t="shared" si="35"/>
        <v>0</v>
      </c>
      <c r="E137">
        <f t="shared" si="33"/>
        <v>0</v>
      </c>
      <c r="F137">
        <f t="shared" si="33"/>
        <v>0</v>
      </c>
      <c r="G137">
        <f t="shared" si="33"/>
        <v>0</v>
      </c>
      <c r="H137">
        <f t="shared" si="33"/>
        <v>0</v>
      </c>
      <c r="I137">
        <f t="shared" si="33"/>
        <v>0</v>
      </c>
      <c r="J137">
        <f t="shared" si="33"/>
        <v>0</v>
      </c>
      <c r="K137" t="e">
        <f t="shared" si="33"/>
        <v>#VALUE!</v>
      </c>
      <c r="L137" t="e">
        <f t="shared" si="33"/>
        <v>#VALUE!</v>
      </c>
      <c r="M137" t="e">
        <f t="shared" si="33"/>
        <v>#VALUE!</v>
      </c>
      <c r="N137" t="e">
        <f t="shared" si="33"/>
        <v>#VALUE!</v>
      </c>
    </row>
    <row r="138" spans="1:14" x14ac:dyDescent="0.25">
      <c r="A138">
        <f t="shared" si="27"/>
        <v>47000000000</v>
      </c>
      <c r="B138">
        <f t="shared" si="34"/>
        <v>0</v>
      </c>
      <c r="C138">
        <f t="shared" si="35"/>
        <v>0</v>
      </c>
      <c r="D138">
        <f t="shared" si="35"/>
        <v>0</v>
      </c>
      <c r="E138">
        <f t="shared" si="33"/>
        <v>0</v>
      </c>
      <c r="F138">
        <f t="shared" si="33"/>
        <v>0</v>
      </c>
      <c r="G138">
        <f t="shared" si="33"/>
        <v>0</v>
      </c>
      <c r="H138">
        <f t="shared" si="33"/>
        <v>0</v>
      </c>
      <c r="I138">
        <f t="shared" si="33"/>
        <v>0</v>
      </c>
      <c r="J138">
        <f t="shared" si="33"/>
        <v>0</v>
      </c>
      <c r="K138" t="e">
        <f t="shared" si="33"/>
        <v>#VALUE!</v>
      </c>
      <c r="L138" t="e">
        <f t="shared" si="33"/>
        <v>#VALUE!</v>
      </c>
      <c r="M138" t="e">
        <f t="shared" si="33"/>
        <v>#VALUE!</v>
      </c>
      <c r="N138" t="e">
        <f t="shared" si="33"/>
        <v>#VALUE!</v>
      </c>
    </row>
    <row r="139" spans="1:14" x14ac:dyDescent="0.25">
      <c r="A139">
        <f t="shared" si="27"/>
        <v>56000000000</v>
      </c>
      <c r="B139">
        <f t="shared" si="34"/>
        <v>0</v>
      </c>
      <c r="C139">
        <f t="shared" si="35"/>
        <v>0</v>
      </c>
      <c r="D139">
        <f t="shared" si="35"/>
        <v>0</v>
      </c>
      <c r="E139">
        <f t="shared" si="33"/>
        <v>0</v>
      </c>
      <c r="F139">
        <f t="shared" si="33"/>
        <v>0</v>
      </c>
      <c r="G139">
        <f t="shared" si="33"/>
        <v>0</v>
      </c>
      <c r="H139">
        <f t="shared" si="33"/>
        <v>0</v>
      </c>
      <c r="I139">
        <f t="shared" si="33"/>
        <v>0</v>
      </c>
      <c r="J139">
        <f t="shared" si="33"/>
        <v>0</v>
      </c>
      <c r="K139" t="e">
        <f t="shared" si="33"/>
        <v>#VALUE!</v>
      </c>
      <c r="L139" t="e">
        <f t="shared" si="33"/>
        <v>#VALUE!</v>
      </c>
      <c r="M139" t="e">
        <f t="shared" si="33"/>
        <v>#VALUE!</v>
      </c>
      <c r="N139" t="e">
        <f t="shared" si="33"/>
        <v>#VALUE!</v>
      </c>
    </row>
    <row r="140" spans="1:14" x14ac:dyDescent="0.25">
      <c r="A140">
        <f t="shared" si="27"/>
        <v>68000000000</v>
      </c>
      <c r="B140">
        <f t="shared" si="34"/>
        <v>0</v>
      </c>
      <c r="C140">
        <f t="shared" si="35"/>
        <v>0</v>
      </c>
      <c r="D140">
        <f t="shared" si="35"/>
        <v>0</v>
      </c>
      <c r="E140">
        <f t="shared" si="33"/>
        <v>0</v>
      </c>
      <c r="F140">
        <f t="shared" si="33"/>
        <v>0</v>
      </c>
      <c r="G140">
        <f t="shared" si="33"/>
        <v>0</v>
      </c>
      <c r="H140">
        <f t="shared" si="33"/>
        <v>0</v>
      </c>
      <c r="I140">
        <f t="shared" si="33"/>
        <v>0</v>
      </c>
      <c r="J140">
        <f t="shared" si="33"/>
        <v>0</v>
      </c>
      <c r="K140" t="e">
        <f t="shared" si="33"/>
        <v>#VALUE!</v>
      </c>
      <c r="L140" t="e">
        <f t="shared" si="33"/>
        <v>#VALUE!</v>
      </c>
      <c r="M140" t="e">
        <f t="shared" si="33"/>
        <v>#VALUE!</v>
      </c>
      <c r="N140" t="e">
        <f t="shared" si="33"/>
        <v>#VALUE!</v>
      </c>
    </row>
    <row r="141" spans="1:14" x14ac:dyDescent="0.25">
      <c r="A141">
        <f t="shared" si="27"/>
        <v>82000000000</v>
      </c>
      <c r="B141">
        <f t="shared" si="34"/>
        <v>0</v>
      </c>
      <c r="C141">
        <f t="shared" si="35"/>
        <v>0</v>
      </c>
      <c r="D141">
        <f t="shared" si="35"/>
        <v>0</v>
      </c>
      <c r="E141">
        <f t="shared" si="33"/>
        <v>0</v>
      </c>
      <c r="F141">
        <f t="shared" si="33"/>
        <v>0</v>
      </c>
      <c r="G141">
        <f t="shared" si="33"/>
        <v>0</v>
      </c>
      <c r="H141">
        <f t="shared" si="33"/>
        <v>0</v>
      </c>
      <c r="I141">
        <f t="shared" si="33"/>
        <v>0</v>
      </c>
      <c r="J141">
        <f t="shared" si="33"/>
        <v>0</v>
      </c>
      <c r="K141" t="e">
        <f t="shared" si="33"/>
        <v>#VALUE!</v>
      </c>
      <c r="L141" t="e">
        <f t="shared" si="33"/>
        <v>#VALUE!</v>
      </c>
      <c r="M141" t="e">
        <f t="shared" si="33"/>
        <v>#VALUE!</v>
      </c>
      <c r="N141" t="e">
        <f t="shared" si="33"/>
        <v>#VALUE!</v>
      </c>
    </row>
    <row r="142" spans="1:14" x14ac:dyDescent="0.25">
      <c r="A142">
        <f t="shared" si="27"/>
        <v>100000000000</v>
      </c>
      <c r="B142">
        <f t="shared" si="34"/>
        <v>0</v>
      </c>
      <c r="C142">
        <f t="shared" si="35"/>
        <v>0</v>
      </c>
      <c r="D142">
        <f t="shared" si="35"/>
        <v>0</v>
      </c>
      <c r="E142">
        <f t="shared" si="33"/>
        <v>0</v>
      </c>
      <c r="F142">
        <f t="shared" si="33"/>
        <v>0</v>
      </c>
      <c r="G142">
        <f t="shared" si="33"/>
        <v>0</v>
      </c>
      <c r="H142">
        <f t="shared" si="33"/>
        <v>0</v>
      </c>
      <c r="I142">
        <f t="shared" si="33"/>
        <v>0</v>
      </c>
      <c r="J142">
        <f t="shared" si="33"/>
        <v>0</v>
      </c>
      <c r="K142" t="e">
        <f t="shared" si="33"/>
        <v>#VALUE!</v>
      </c>
      <c r="L142" t="e">
        <f t="shared" si="33"/>
        <v>#VALUE!</v>
      </c>
      <c r="M142" t="e">
        <f t="shared" si="33"/>
        <v>#VALUE!</v>
      </c>
      <c r="N142" t="e">
        <f t="shared" si="33"/>
        <v>#VALUE!</v>
      </c>
    </row>
    <row r="143" spans="1:14" x14ac:dyDescent="0.25">
      <c r="A143">
        <f t="shared" si="27"/>
        <v>120000000000</v>
      </c>
      <c r="B143">
        <f t="shared" si="34"/>
        <v>0</v>
      </c>
      <c r="C143">
        <f t="shared" si="35"/>
        <v>0</v>
      </c>
      <c r="D143">
        <f t="shared" si="35"/>
        <v>0</v>
      </c>
      <c r="E143">
        <f t="shared" si="33"/>
        <v>0</v>
      </c>
      <c r="F143">
        <f t="shared" si="33"/>
        <v>0</v>
      </c>
      <c r="G143">
        <f t="shared" si="33"/>
        <v>0</v>
      </c>
      <c r="H143">
        <f t="shared" si="33"/>
        <v>0</v>
      </c>
      <c r="I143">
        <f t="shared" si="33"/>
        <v>0</v>
      </c>
      <c r="J143">
        <f t="shared" si="33"/>
        <v>0</v>
      </c>
      <c r="K143" t="e">
        <f t="shared" si="33"/>
        <v>#VALUE!</v>
      </c>
      <c r="L143" t="e">
        <f t="shared" si="33"/>
        <v>#VALUE!</v>
      </c>
      <c r="M143" t="e">
        <f t="shared" si="33"/>
        <v>#VALUE!</v>
      </c>
      <c r="N143" t="e">
        <f t="shared" si="33"/>
        <v>#VALUE!</v>
      </c>
    </row>
    <row r="144" spans="1:14" x14ac:dyDescent="0.25">
      <c r="A144">
        <f t="shared" si="27"/>
        <v>150000000000</v>
      </c>
      <c r="B144">
        <f t="shared" si="34"/>
        <v>0</v>
      </c>
      <c r="C144">
        <f t="shared" si="35"/>
        <v>0</v>
      </c>
      <c r="D144">
        <f t="shared" si="35"/>
        <v>0</v>
      </c>
      <c r="E144">
        <f t="shared" si="33"/>
        <v>0</v>
      </c>
      <c r="F144">
        <f t="shared" si="33"/>
        <v>0</v>
      </c>
      <c r="G144">
        <f t="shared" si="33"/>
        <v>0</v>
      </c>
      <c r="H144">
        <f t="shared" si="33"/>
        <v>0</v>
      </c>
      <c r="I144">
        <f t="shared" si="33"/>
        <v>0</v>
      </c>
      <c r="J144">
        <f t="shared" si="33"/>
        <v>0</v>
      </c>
      <c r="K144" t="e">
        <f t="shared" si="33"/>
        <v>#VALUE!</v>
      </c>
      <c r="L144" t="e">
        <f t="shared" si="33"/>
        <v>#VALUE!</v>
      </c>
      <c r="M144" t="e">
        <f t="shared" si="33"/>
        <v>#VALUE!</v>
      </c>
      <c r="N144" t="e">
        <f t="shared" si="33"/>
        <v>#VALUE!</v>
      </c>
    </row>
    <row r="145" spans="1:14" x14ac:dyDescent="0.25">
      <c r="A145">
        <f t="shared" si="27"/>
        <v>180000000000</v>
      </c>
      <c r="B145">
        <f t="shared" si="34"/>
        <v>0</v>
      </c>
      <c r="C145">
        <f t="shared" si="35"/>
        <v>0</v>
      </c>
      <c r="D145">
        <f t="shared" si="35"/>
        <v>0</v>
      </c>
      <c r="E145">
        <f t="shared" si="33"/>
        <v>0</v>
      </c>
      <c r="F145">
        <f t="shared" si="33"/>
        <v>0</v>
      </c>
      <c r="G145">
        <f t="shared" si="33"/>
        <v>0</v>
      </c>
      <c r="H145">
        <f t="shared" si="33"/>
        <v>0</v>
      </c>
      <c r="I145">
        <f t="shared" si="33"/>
        <v>0</v>
      </c>
      <c r="J145">
        <f t="shared" si="33"/>
        <v>0</v>
      </c>
      <c r="K145" t="e">
        <f t="shared" si="33"/>
        <v>#VALUE!</v>
      </c>
      <c r="L145" t="e">
        <f t="shared" si="33"/>
        <v>#VALUE!</v>
      </c>
      <c r="M145" t="e">
        <f t="shared" si="33"/>
        <v>#VALUE!</v>
      </c>
      <c r="N145" t="e">
        <f t="shared" si="33"/>
        <v>#VALUE!</v>
      </c>
    </row>
    <row r="146" spans="1:14" x14ac:dyDescent="0.25">
      <c r="A146">
        <f t="shared" si="27"/>
        <v>220000000000</v>
      </c>
      <c r="B146">
        <f t="shared" si="34"/>
        <v>0</v>
      </c>
      <c r="C146">
        <f t="shared" si="35"/>
        <v>0</v>
      </c>
      <c r="D146">
        <f t="shared" si="35"/>
        <v>0</v>
      </c>
      <c r="E146">
        <f t="shared" si="33"/>
        <v>0</v>
      </c>
      <c r="F146">
        <f t="shared" si="33"/>
        <v>0</v>
      </c>
      <c r="G146">
        <f t="shared" si="33"/>
        <v>0</v>
      </c>
      <c r="H146">
        <f t="shared" si="33"/>
        <v>0</v>
      </c>
      <c r="I146">
        <f t="shared" si="33"/>
        <v>0</v>
      </c>
      <c r="J146">
        <f t="shared" si="33"/>
        <v>0</v>
      </c>
      <c r="K146" t="e">
        <f t="shared" si="33"/>
        <v>#VALUE!</v>
      </c>
      <c r="L146" t="e">
        <f t="shared" si="33"/>
        <v>#VALUE!</v>
      </c>
      <c r="M146" t="e">
        <f t="shared" si="33"/>
        <v>#VALUE!</v>
      </c>
      <c r="N146" t="e">
        <f t="shared" si="33"/>
        <v>#VALUE!</v>
      </c>
    </row>
    <row r="147" spans="1:14" x14ac:dyDescent="0.25">
      <c r="A147">
        <f t="shared" si="27"/>
        <v>270000000000</v>
      </c>
      <c r="B147">
        <f t="shared" si="34"/>
        <v>0</v>
      </c>
      <c r="C147">
        <f t="shared" si="35"/>
        <v>0</v>
      </c>
      <c r="D147">
        <f t="shared" si="35"/>
        <v>0</v>
      </c>
      <c r="E147">
        <f t="shared" si="33"/>
        <v>0</v>
      </c>
      <c r="F147">
        <f t="shared" si="33"/>
        <v>0</v>
      </c>
      <c r="G147">
        <f t="shared" si="33"/>
        <v>0</v>
      </c>
      <c r="H147">
        <f t="shared" si="33"/>
        <v>0</v>
      </c>
      <c r="I147">
        <f t="shared" si="33"/>
        <v>0</v>
      </c>
      <c r="J147">
        <f t="shared" si="33"/>
        <v>0</v>
      </c>
      <c r="K147" t="e">
        <f t="shared" si="33"/>
        <v>#VALUE!</v>
      </c>
      <c r="L147" t="e">
        <f t="shared" si="33"/>
        <v>#VALUE!</v>
      </c>
      <c r="M147" t="e">
        <f t="shared" si="33"/>
        <v>#VALUE!</v>
      </c>
      <c r="N147" t="e">
        <f t="shared" si="33"/>
        <v>#VALUE!</v>
      </c>
    </row>
    <row r="148" spans="1:14" x14ac:dyDescent="0.25">
      <c r="A148">
        <f t="shared" si="27"/>
        <v>330000000000</v>
      </c>
      <c r="B148">
        <f t="shared" si="34"/>
        <v>0</v>
      </c>
      <c r="C148">
        <f t="shared" si="35"/>
        <v>0</v>
      </c>
      <c r="D148">
        <f t="shared" si="35"/>
        <v>0</v>
      </c>
      <c r="E148">
        <f t="shared" si="33"/>
        <v>0</v>
      </c>
      <c r="F148">
        <f t="shared" si="33"/>
        <v>0</v>
      </c>
      <c r="G148">
        <f t="shared" si="33"/>
        <v>0</v>
      </c>
      <c r="H148">
        <f t="shared" si="33"/>
        <v>0</v>
      </c>
      <c r="I148">
        <f t="shared" si="33"/>
        <v>0</v>
      </c>
      <c r="J148">
        <f t="shared" si="33"/>
        <v>0</v>
      </c>
      <c r="K148" t="e">
        <f t="shared" si="33"/>
        <v>#VALUE!</v>
      </c>
      <c r="L148" t="e">
        <f t="shared" si="33"/>
        <v>#VALUE!</v>
      </c>
      <c r="M148" t="e">
        <f t="shared" si="33"/>
        <v>#VALUE!</v>
      </c>
      <c r="N148" t="e">
        <f t="shared" si="33"/>
        <v>#VALUE!</v>
      </c>
    </row>
    <row r="149" spans="1:14" x14ac:dyDescent="0.25">
      <c r="A149">
        <f t="shared" si="27"/>
        <v>390000000000</v>
      </c>
      <c r="B149">
        <f t="shared" si="34"/>
        <v>0</v>
      </c>
      <c r="C149">
        <f t="shared" si="35"/>
        <v>0</v>
      </c>
      <c r="D149">
        <f t="shared" si="35"/>
        <v>0</v>
      </c>
      <c r="E149">
        <f t="shared" si="33"/>
        <v>0</v>
      </c>
      <c r="F149">
        <f t="shared" si="33"/>
        <v>0</v>
      </c>
      <c r="G149">
        <f t="shared" si="33"/>
        <v>0</v>
      </c>
      <c r="H149">
        <f t="shared" si="33"/>
        <v>0</v>
      </c>
      <c r="I149">
        <f t="shared" si="33"/>
        <v>0</v>
      </c>
      <c r="J149">
        <f t="shared" si="33"/>
        <v>0</v>
      </c>
      <c r="K149" t="e">
        <f t="shared" si="33"/>
        <v>#VALUE!</v>
      </c>
      <c r="L149" t="e">
        <f t="shared" si="33"/>
        <v>#VALUE!</v>
      </c>
      <c r="M149" t="e">
        <f t="shared" si="33"/>
        <v>#VALUE!</v>
      </c>
      <c r="N149" t="e">
        <f t="shared" si="33"/>
        <v>#VALUE!</v>
      </c>
    </row>
    <row r="150" spans="1:14" x14ac:dyDescent="0.25">
      <c r="A150">
        <f t="shared" si="27"/>
        <v>470000000000</v>
      </c>
      <c r="B150">
        <f t="shared" si="34"/>
        <v>0</v>
      </c>
      <c r="C150">
        <f t="shared" si="35"/>
        <v>0</v>
      </c>
      <c r="D150">
        <f t="shared" si="35"/>
        <v>0</v>
      </c>
      <c r="E150">
        <f t="shared" si="33"/>
        <v>0</v>
      </c>
      <c r="F150">
        <f t="shared" si="33"/>
        <v>0</v>
      </c>
      <c r="G150">
        <f t="shared" si="33"/>
        <v>0</v>
      </c>
      <c r="H150">
        <f t="shared" si="33"/>
        <v>0</v>
      </c>
      <c r="I150">
        <f t="shared" si="33"/>
        <v>0</v>
      </c>
      <c r="J150">
        <f t="shared" si="33"/>
        <v>0</v>
      </c>
      <c r="K150" t="e">
        <f t="shared" si="33"/>
        <v>#VALUE!</v>
      </c>
      <c r="L150" t="e">
        <f t="shared" si="33"/>
        <v>#VALUE!</v>
      </c>
      <c r="M150" t="e">
        <f t="shared" si="33"/>
        <v>#VALUE!</v>
      </c>
      <c r="N150" t="e">
        <f t="shared" si="33"/>
        <v>#VALUE!</v>
      </c>
    </row>
    <row r="151" spans="1:14" x14ac:dyDescent="0.25">
      <c r="A151">
        <f t="shared" si="27"/>
        <v>560000000000</v>
      </c>
      <c r="B151">
        <f t="shared" si="34"/>
        <v>0</v>
      </c>
      <c r="C151">
        <f t="shared" si="35"/>
        <v>0</v>
      </c>
      <c r="D151">
        <f t="shared" si="35"/>
        <v>0</v>
      </c>
      <c r="E151">
        <f t="shared" si="33"/>
        <v>0</v>
      </c>
      <c r="F151">
        <f t="shared" si="33"/>
        <v>0</v>
      </c>
      <c r="G151">
        <f t="shared" si="33"/>
        <v>0</v>
      </c>
      <c r="H151">
        <f t="shared" si="33"/>
        <v>0</v>
      </c>
      <c r="I151">
        <f t="shared" si="33"/>
        <v>0</v>
      </c>
      <c r="J151">
        <f t="shared" si="33"/>
        <v>0</v>
      </c>
      <c r="K151" t="e">
        <f t="shared" si="33"/>
        <v>#VALUE!</v>
      </c>
      <c r="L151" t="e">
        <f t="shared" si="33"/>
        <v>#VALUE!</v>
      </c>
      <c r="M151" t="e">
        <f t="shared" si="33"/>
        <v>#VALUE!</v>
      </c>
      <c r="N151" t="e">
        <f t="shared" si="33"/>
        <v>#VALUE!</v>
      </c>
    </row>
    <row r="152" spans="1:14" x14ac:dyDescent="0.25">
      <c r="A152">
        <f t="shared" si="27"/>
        <v>680000000000</v>
      </c>
      <c r="B152">
        <f t="shared" si="34"/>
        <v>0</v>
      </c>
      <c r="C152">
        <f t="shared" si="35"/>
        <v>0</v>
      </c>
      <c r="D152">
        <f t="shared" si="35"/>
        <v>0</v>
      </c>
      <c r="E152">
        <f t="shared" si="33"/>
        <v>0</v>
      </c>
      <c r="F152">
        <f t="shared" si="33"/>
        <v>0</v>
      </c>
      <c r="G152">
        <f t="shared" si="33"/>
        <v>0</v>
      </c>
      <c r="H152">
        <f t="shared" si="33"/>
        <v>0</v>
      </c>
      <c r="I152">
        <f t="shared" si="33"/>
        <v>0</v>
      </c>
      <c r="J152">
        <f t="shared" si="33"/>
        <v>0</v>
      </c>
      <c r="K152" t="e">
        <f t="shared" si="33"/>
        <v>#VALUE!</v>
      </c>
      <c r="L152" t="e">
        <f t="shared" si="33"/>
        <v>#VALUE!</v>
      </c>
      <c r="M152" t="e">
        <f t="shared" si="33"/>
        <v>#VALUE!</v>
      </c>
      <c r="N152" t="e">
        <f t="shared" si="33"/>
        <v>#VALUE!</v>
      </c>
    </row>
    <row r="153" spans="1:14" x14ac:dyDescent="0.25">
      <c r="A153">
        <f t="shared" si="27"/>
        <v>820000000000</v>
      </c>
      <c r="B153">
        <f t="shared" si="34"/>
        <v>0</v>
      </c>
      <c r="C153">
        <f t="shared" si="35"/>
        <v>0</v>
      </c>
      <c r="D153">
        <f t="shared" si="35"/>
        <v>0</v>
      </c>
      <c r="E153">
        <f t="shared" si="33"/>
        <v>0</v>
      </c>
      <c r="F153">
        <f t="shared" si="33"/>
        <v>0</v>
      </c>
      <c r="G153">
        <f t="shared" si="33"/>
        <v>0</v>
      </c>
      <c r="H153">
        <f t="shared" si="33"/>
        <v>0</v>
      </c>
      <c r="I153">
        <f t="shared" si="33"/>
        <v>0</v>
      </c>
      <c r="J153">
        <f t="shared" si="33"/>
        <v>0</v>
      </c>
      <c r="K153" t="e">
        <f t="shared" si="33"/>
        <v>#VALUE!</v>
      </c>
      <c r="L153" t="e">
        <f t="shared" si="33"/>
        <v>#VALUE!</v>
      </c>
      <c r="M153" t="e">
        <f t="shared" si="33"/>
        <v>#VALUE!</v>
      </c>
      <c r="N153" t="e">
        <f t="shared" si="33"/>
        <v>#VALUE!</v>
      </c>
    </row>
    <row r="154" spans="1:14" x14ac:dyDescent="0.25">
      <c r="A154">
        <f t="shared" si="27"/>
        <v>1000000000000</v>
      </c>
      <c r="B154">
        <f t="shared" si="34"/>
        <v>0</v>
      </c>
      <c r="C154">
        <f t="shared" si="35"/>
        <v>0</v>
      </c>
      <c r="D154">
        <f t="shared" si="35"/>
        <v>0</v>
      </c>
      <c r="E154">
        <f t="shared" si="33"/>
        <v>0</v>
      </c>
      <c r="F154">
        <f t="shared" si="33"/>
        <v>0</v>
      </c>
      <c r="G154">
        <f t="shared" si="33"/>
        <v>0</v>
      </c>
      <c r="H154">
        <f t="shared" si="33"/>
        <v>0</v>
      </c>
      <c r="I154">
        <f t="shared" si="33"/>
        <v>0</v>
      </c>
      <c r="J154">
        <f t="shared" si="33"/>
        <v>0</v>
      </c>
      <c r="K154" t="e">
        <f t="shared" si="33"/>
        <v>#VALUE!</v>
      </c>
      <c r="L154" t="e">
        <f t="shared" si="33"/>
        <v>#VALUE!</v>
      </c>
      <c r="M154" t="e">
        <f t="shared" si="33"/>
        <v>#VALUE!</v>
      </c>
      <c r="N154" t="e">
        <f t="shared" si="33"/>
        <v>#VALUE!</v>
      </c>
    </row>
    <row r="155" spans="1:14" x14ac:dyDescent="0.25">
      <c r="A155">
        <f t="shared" si="27"/>
        <v>1200000000000</v>
      </c>
      <c r="B155">
        <f t="shared" si="34"/>
        <v>0</v>
      </c>
      <c r="C155">
        <f t="shared" si="35"/>
        <v>0</v>
      </c>
      <c r="D155">
        <f t="shared" si="35"/>
        <v>0</v>
      </c>
      <c r="E155">
        <f t="shared" si="33"/>
        <v>0</v>
      </c>
      <c r="F155">
        <f t="shared" si="33"/>
        <v>0</v>
      </c>
      <c r="G155">
        <f t="shared" si="33"/>
        <v>0</v>
      </c>
      <c r="H155">
        <f t="shared" si="33"/>
        <v>0</v>
      </c>
      <c r="I155">
        <f t="shared" si="33"/>
        <v>0</v>
      </c>
      <c r="J155">
        <f t="shared" si="33"/>
        <v>0</v>
      </c>
      <c r="K155" t="e">
        <f t="shared" si="33"/>
        <v>#VALUE!</v>
      </c>
      <c r="L155" t="e">
        <f t="shared" si="33"/>
        <v>#VALUE!</v>
      </c>
      <c r="M155" t="e">
        <f t="shared" si="33"/>
        <v>#VALUE!</v>
      </c>
      <c r="N155" t="e">
        <f t="shared" si="33"/>
        <v>#VALUE!</v>
      </c>
    </row>
    <row r="156" spans="1:14" x14ac:dyDescent="0.25">
      <c r="A156">
        <f t="shared" si="27"/>
        <v>1500000000000</v>
      </c>
      <c r="B156">
        <f t="shared" si="34"/>
        <v>0</v>
      </c>
      <c r="C156">
        <f t="shared" si="35"/>
        <v>0</v>
      </c>
      <c r="D156">
        <f t="shared" si="35"/>
        <v>0</v>
      </c>
      <c r="E156">
        <f t="shared" si="33"/>
        <v>0</v>
      </c>
      <c r="F156">
        <f t="shared" si="33"/>
        <v>0</v>
      </c>
      <c r="G156">
        <f t="shared" si="33"/>
        <v>0</v>
      </c>
      <c r="H156">
        <f t="shared" si="33"/>
        <v>0</v>
      </c>
      <c r="I156">
        <f t="shared" si="33"/>
        <v>0</v>
      </c>
      <c r="J156">
        <f t="shared" si="33"/>
        <v>0</v>
      </c>
      <c r="K156" t="e">
        <f t="shared" si="33"/>
        <v>#VALUE!</v>
      </c>
      <c r="L156" t="e">
        <f t="shared" si="33"/>
        <v>#VALUE!</v>
      </c>
      <c r="M156" t="e">
        <f t="shared" si="33"/>
        <v>#VALUE!</v>
      </c>
      <c r="N156" t="e">
        <f t="shared" si="33"/>
        <v>#VALUE!</v>
      </c>
    </row>
    <row r="157" spans="1:14" x14ac:dyDescent="0.25">
      <c r="A157">
        <f t="shared" si="27"/>
        <v>1800000000000</v>
      </c>
      <c r="B157">
        <f t="shared" si="34"/>
        <v>0</v>
      </c>
      <c r="C157">
        <f t="shared" si="35"/>
        <v>0</v>
      </c>
      <c r="D157">
        <f t="shared" si="35"/>
        <v>0</v>
      </c>
      <c r="E157">
        <f t="shared" si="33"/>
        <v>0</v>
      </c>
      <c r="F157">
        <f t="shared" si="33"/>
        <v>0</v>
      </c>
      <c r="G157">
        <f t="shared" si="33"/>
        <v>0</v>
      </c>
      <c r="H157">
        <f t="shared" si="33"/>
        <v>0</v>
      </c>
      <c r="I157">
        <f t="shared" si="33"/>
        <v>0</v>
      </c>
      <c r="J157">
        <f t="shared" si="33"/>
        <v>0</v>
      </c>
      <c r="K157" t="e">
        <f t="shared" si="33"/>
        <v>#VALUE!</v>
      </c>
      <c r="L157" t="e">
        <f t="shared" si="33"/>
        <v>#VALUE!</v>
      </c>
      <c r="M157" t="e">
        <f t="shared" si="33"/>
        <v>#VALUE!</v>
      </c>
      <c r="N157" t="e">
        <f t="shared" si="33"/>
        <v>#VALUE!</v>
      </c>
    </row>
    <row r="158" spans="1:14" x14ac:dyDescent="0.25">
      <c r="A158">
        <f t="shared" si="27"/>
        <v>2200000000000</v>
      </c>
      <c r="B158">
        <f t="shared" si="34"/>
        <v>0</v>
      </c>
      <c r="C158">
        <f t="shared" si="35"/>
        <v>0</v>
      </c>
      <c r="D158">
        <f t="shared" si="35"/>
        <v>0</v>
      </c>
      <c r="E158">
        <f t="shared" si="33"/>
        <v>0</v>
      </c>
      <c r="F158">
        <f t="shared" si="33"/>
        <v>0</v>
      </c>
      <c r="G158">
        <f t="shared" si="33"/>
        <v>0</v>
      </c>
      <c r="H158">
        <f t="shared" si="33"/>
        <v>0</v>
      </c>
      <c r="I158">
        <f t="shared" si="33"/>
        <v>0</v>
      </c>
      <c r="J158">
        <f t="shared" si="33"/>
        <v>0</v>
      </c>
      <c r="K158" t="e">
        <f t="shared" si="33"/>
        <v>#VALUE!</v>
      </c>
      <c r="L158" t="e">
        <f t="shared" si="33"/>
        <v>#VALUE!</v>
      </c>
      <c r="M158" t="e">
        <f t="shared" si="33"/>
        <v>#VALUE!</v>
      </c>
      <c r="N158" t="e">
        <f t="shared" si="33"/>
        <v>#VALUE!</v>
      </c>
    </row>
    <row r="159" spans="1:14" x14ac:dyDescent="0.25">
      <c r="A159" s="43">
        <f t="shared" si="27"/>
        <v>2700000000000</v>
      </c>
      <c r="B159">
        <f t="shared" si="34"/>
        <v>2700000000000</v>
      </c>
      <c r="C159">
        <f t="shared" si="35"/>
        <v>2700000000000</v>
      </c>
      <c r="D159">
        <f t="shared" si="35"/>
        <v>0</v>
      </c>
      <c r="E159">
        <f t="shared" si="33"/>
        <v>2700000000000</v>
      </c>
      <c r="F159">
        <f t="shared" si="33"/>
        <v>2700000000000</v>
      </c>
      <c r="G159">
        <f t="shared" si="33"/>
        <v>2700000000000</v>
      </c>
      <c r="H159">
        <f t="shared" si="33"/>
        <v>2700000000000</v>
      </c>
      <c r="I159">
        <f t="shared" si="33"/>
        <v>2700000000000</v>
      </c>
      <c r="J159">
        <f t="shared" si="33"/>
        <v>2700000000000</v>
      </c>
      <c r="K159" t="e">
        <f t="shared" si="33"/>
        <v>#VALUE!</v>
      </c>
      <c r="L159" t="e">
        <f t="shared" si="33"/>
        <v>#VALUE!</v>
      </c>
      <c r="M159" t="e">
        <f t="shared" si="33"/>
        <v>#VALUE!</v>
      </c>
      <c r="N159" t="e">
        <f t="shared" si="33"/>
        <v>#VALUE!</v>
      </c>
    </row>
  </sheetData>
  <phoneticPr fontId="5"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E7"/>
  <sheetViews>
    <sheetView workbookViewId="0">
      <selection activeCell="B6" sqref="B6"/>
    </sheetView>
  </sheetViews>
  <sheetFormatPr defaultRowHeight="12.5" x14ac:dyDescent="0.25"/>
  <cols>
    <col min="1" max="1" width="18.54296875" customWidth="1"/>
    <col min="2" max="2" width="9.36328125" customWidth="1"/>
    <col min="4" max="4" width="11.08984375" customWidth="1"/>
  </cols>
  <sheetData>
    <row r="1" spans="1:5" x14ac:dyDescent="0.25">
      <c r="C1" t="s">
        <v>180</v>
      </c>
      <c r="D1" t="s">
        <v>179</v>
      </c>
    </row>
    <row r="2" spans="1:5" x14ac:dyDescent="0.25">
      <c r="A2" t="s">
        <v>177</v>
      </c>
      <c r="B2" s="47">
        <v>85</v>
      </c>
      <c r="C2" t="s">
        <v>178</v>
      </c>
      <c r="D2">
        <f>B2*1000000</f>
        <v>85000000</v>
      </c>
      <c r="E2" t="s">
        <v>9</v>
      </c>
    </row>
    <row r="3" spans="1:5" x14ac:dyDescent="0.25">
      <c r="A3" t="s">
        <v>181</v>
      </c>
      <c r="B3" s="47">
        <v>3000</v>
      </c>
      <c r="C3" t="s">
        <v>30</v>
      </c>
      <c r="D3">
        <f>B3*0.000000000001</f>
        <v>3E-9</v>
      </c>
      <c r="E3" t="s">
        <v>24</v>
      </c>
    </row>
    <row r="4" spans="1:5" x14ac:dyDescent="0.25">
      <c r="A4" t="s">
        <v>183</v>
      </c>
      <c r="B4" s="48">
        <f>1000000000*1/((D2*2*3.14159)^2*D3)</f>
        <v>1.1686430773614742</v>
      </c>
      <c r="C4" t="s">
        <v>184</v>
      </c>
      <c r="D4">
        <f>B4/1000000000</f>
        <v>1.1686430773614743E-9</v>
      </c>
      <c r="E4" t="s">
        <v>19</v>
      </c>
    </row>
    <row r="5" spans="1:5" x14ac:dyDescent="0.25">
      <c r="A5" t="s">
        <v>182</v>
      </c>
      <c r="B5">
        <f>4*B3</f>
        <v>12000</v>
      </c>
      <c r="C5" t="s">
        <v>30</v>
      </c>
      <c r="D5">
        <f>B5*0.000000000001</f>
        <v>1.2E-8</v>
      </c>
      <c r="E5" t="s">
        <v>24</v>
      </c>
    </row>
    <row r="6" spans="1:5" x14ac:dyDescent="0.25">
      <c r="A6" t="s">
        <v>185</v>
      </c>
      <c r="B6" s="4">
        <f>SQRT(D4/D3)</f>
        <v>0.62413755891936573</v>
      </c>
      <c r="C6" s="4" t="s">
        <v>138</v>
      </c>
      <c r="D6" s="4">
        <f>B6</f>
        <v>0.62413755891936573</v>
      </c>
      <c r="E6" t="s">
        <v>138</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4:E17"/>
  <sheetViews>
    <sheetView workbookViewId="0">
      <selection activeCell="U50" sqref="U50"/>
    </sheetView>
  </sheetViews>
  <sheetFormatPr defaultRowHeight="12.5" x14ac:dyDescent="0.25"/>
  <sheetData>
    <row r="4" spans="1:5" x14ac:dyDescent="0.25">
      <c r="A4" t="s">
        <v>6</v>
      </c>
      <c r="B4">
        <f>Fsw</f>
        <v>405680</v>
      </c>
    </row>
    <row r="6" spans="1:5" x14ac:dyDescent="0.25">
      <c r="A6" t="s">
        <v>151</v>
      </c>
      <c r="B6" s="41">
        <v>20</v>
      </c>
      <c r="C6" t="s">
        <v>23</v>
      </c>
      <c r="D6">
        <f>B6/1000000</f>
        <v>2.0000000000000002E-5</v>
      </c>
      <c r="E6" t="s">
        <v>24</v>
      </c>
    </row>
    <row r="7" spans="1:5" x14ac:dyDescent="0.25">
      <c r="A7" t="s">
        <v>142</v>
      </c>
      <c r="B7" s="41">
        <v>0.5</v>
      </c>
      <c r="C7" t="s">
        <v>63</v>
      </c>
      <c r="D7">
        <f>B7/1000</f>
        <v>5.0000000000000001E-4</v>
      </c>
      <c r="E7" t="s">
        <v>20</v>
      </c>
    </row>
    <row r="9" spans="1:5" x14ac:dyDescent="0.25">
      <c r="A9" t="s">
        <v>152</v>
      </c>
      <c r="B9" s="41">
        <v>68</v>
      </c>
      <c r="C9" t="s">
        <v>23</v>
      </c>
      <c r="D9">
        <f>B9/1000000</f>
        <v>6.7999999999999999E-5</v>
      </c>
      <c r="E9" t="s">
        <v>24</v>
      </c>
    </row>
    <row r="10" spans="1:5" x14ac:dyDescent="0.25">
      <c r="A10" t="s">
        <v>143</v>
      </c>
      <c r="B10" s="41">
        <v>20</v>
      </c>
      <c r="C10" t="s">
        <v>63</v>
      </c>
      <c r="D10">
        <f>B10/1000</f>
        <v>0.02</v>
      </c>
      <c r="E10" t="s">
        <v>20</v>
      </c>
    </row>
    <row r="13" spans="1:5" x14ac:dyDescent="0.25">
      <c r="A13" t="s">
        <v>154</v>
      </c>
      <c r="B13">
        <f>(D6/(D6+D9))*SQRT((D10*D9*B4)^2+1)/SQRT((((D7+D10)*D6*D9/(D9+D6))*B4)^2+1)</f>
        <v>0.25745123601218944</v>
      </c>
      <c r="C13" t="s">
        <v>153</v>
      </c>
    </row>
    <row r="14" spans="1:5" x14ac:dyDescent="0.25">
      <c r="A14" t="s">
        <v>155</v>
      </c>
      <c r="B14">
        <f>1-B13</f>
        <v>0.74254876398781056</v>
      </c>
      <c r="C14" t="s">
        <v>153</v>
      </c>
    </row>
    <row r="16" spans="1:5" x14ac:dyDescent="0.25">
      <c r="A16" t="s">
        <v>154</v>
      </c>
      <c r="B16" t="e">
        <f>B13*(Iripple1/(2*SQRT(3)))</f>
        <v>#NAME?</v>
      </c>
      <c r="C16" t="s">
        <v>1</v>
      </c>
    </row>
    <row r="17" spans="1:3" x14ac:dyDescent="0.25">
      <c r="A17" t="s">
        <v>155</v>
      </c>
      <c r="B17" t="e">
        <f>B14*(Iripple1/(2*SQRT(3)))</f>
        <v>#NAME?</v>
      </c>
      <c r="C17" t="s">
        <v>1</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297</vt:i4>
      </vt:variant>
    </vt:vector>
  </HeadingPairs>
  <TitlesOfParts>
    <vt:vector size="312" baseType="lpstr">
      <vt:lpstr>Design Regulator</vt:lpstr>
      <vt:lpstr>Input Filters</vt:lpstr>
      <vt:lpstr>Design Input Filter</vt:lpstr>
      <vt:lpstr>BOM &amp; Schematic</vt:lpstr>
      <vt:lpstr>EVM</vt:lpstr>
      <vt:lpstr>Variable Management</vt:lpstr>
      <vt:lpstr>Schematic Management</vt:lpstr>
      <vt:lpstr>Stability Calculations</vt:lpstr>
      <vt:lpstr>Bode Plot Management</vt:lpstr>
      <vt:lpstr>Efficiency Calculations</vt:lpstr>
      <vt:lpstr>Efficiency Plot Management</vt:lpstr>
      <vt:lpstr>Input Filter Calculations</vt:lpstr>
      <vt:lpstr>Standard Value Calculator</vt:lpstr>
      <vt:lpstr>Snubber</vt:lpstr>
      <vt:lpstr>Parallel Output Caps</vt:lpstr>
      <vt:lpstr>_Don1</vt:lpstr>
      <vt:lpstr>_Don2</vt:lpstr>
      <vt:lpstr>Acs</vt:lpstr>
      <vt:lpstr>Acs_Ch2</vt:lpstr>
      <vt:lpstr>Adc</vt:lpstr>
      <vt:lpstr>AEA</vt:lpstr>
      <vt:lpstr>Afb</vt:lpstr>
      <vt:lpstr>Afb_Ch2</vt:lpstr>
      <vt:lpstr>Afbr</vt:lpstr>
      <vt:lpstr>Am</vt:lpstr>
      <vt:lpstr>Am_buck</vt:lpstr>
      <vt:lpstr>Am_buck_Ch2</vt:lpstr>
      <vt:lpstr>Am_Ch2</vt:lpstr>
      <vt:lpstr>Attn_req</vt:lpstr>
      <vt:lpstr>BODE_PLOT_Ch1</vt:lpstr>
      <vt:lpstr>BODE_PLOT_Ch2</vt:lpstr>
      <vt:lpstr>BODE_PLOT_TYPE</vt:lpstr>
      <vt:lpstr>Buck_CS_threshold</vt:lpstr>
      <vt:lpstr>Buck_CS_threshold_max</vt:lpstr>
      <vt:lpstr>Buck_CS_threshold_min</vt:lpstr>
      <vt:lpstr>Cb</vt:lpstr>
      <vt:lpstr>Cbw</vt:lpstr>
      <vt:lpstr>Cby</vt:lpstr>
      <vt:lpstr>Cc1ea</vt:lpstr>
      <vt:lpstr>Cc1ea_u</vt:lpstr>
      <vt:lpstr>Cc2ea</vt:lpstr>
      <vt:lpstr>Cc2ea_u</vt:lpstr>
      <vt:lpstr>Cc3ea</vt:lpstr>
      <vt:lpstr>Cc3ea_u</vt:lpstr>
      <vt:lpstr>Cc4ea</vt:lpstr>
      <vt:lpstr>Cc4ea_u</vt:lpstr>
      <vt:lpstr>Ccomp_AEF</vt:lpstr>
      <vt:lpstr>Cdamp_AEFstd</vt:lpstr>
      <vt:lpstr>Cdamp_PassiveStd</vt:lpstr>
      <vt:lpstr>CdampCom</vt:lpstr>
      <vt:lpstr>CdampPssv</vt:lpstr>
      <vt:lpstr>CdampSel</vt:lpstr>
      <vt:lpstr>Cdither</vt:lpstr>
      <vt:lpstr>Cdither_init</vt:lpstr>
      <vt:lpstr>Cfb</vt:lpstr>
      <vt:lpstr>Cff</vt:lpstr>
      <vt:lpstr>CfilterPssv</vt:lpstr>
      <vt:lpstr>Ch2_VOUT</vt:lpstr>
      <vt:lpstr>Cin</vt:lpstr>
      <vt:lpstr>Cin_PassiveStd</vt:lpstr>
      <vt:lpstr>CinEsrMax</vt:lpstr>
      <vt:lpstr>Cinj_AEF</vt:lpstr>
      <vt:lpstr>Cinj_AEFstd</vt:lpstr>
      <vt:lpstr>CinjCom</vt:lpstr>
      <vt:lpstr>CinjSel</vt:lpstr>
      <vt:lpstr>Cinmin</vt:lpstr>
      <vt:lpstr>COMP_TYPE</vt:lpstr>
      <vt:lpstr>Core_Loss_Ch1</vt:lpstr>
      <vt:lpstr>Coss_Q1</vt:lpstr>
      <vt:lpstr>Coss_Q2</vt:lpstr>
      <vt:lpstr>Cout</vt:lpstr>
      <vt:lpstr>Cout_ESR</vt:lpstr>
      <vt:lpstr>Cout_min</vt:lpstr>
      <vt:lpstr>Cout2</vt:lpstr>
      <vt:lpstr>Cout2_ESR</vt:lpstr>
      <vt:lpstr>Cout2_min</vt:lpstr>
      <vt:lpstr>Cout2EsrMax</vt:lpstr>
      <vt:lpstr>CoutEsrMax</vt:lpstr>
      <vt:lpstr>Cres</vt:lpstr>
      <vt:lpstr>Cres_u</vt:lpstr>
      <vt:lpstr>CSAmp_gain</vt:lpstr>
      <vt:lpstr>Csb</vt:lpstr>
      <vt:lpstr>Csen_AEF</vt:lpstr>
      <vt:lpstr>Css</vt:lpstr>
      <vt:lpstr>Css_u</vt:lpstr>
      <vt:lpstr>D1_Vinmax</vt:lpstr>
      <vt:lpstr>D1_Vinmax_2</vt:lpstr>
      <vt:lpstr>D1_Vinmin</vt:lpstr>
      <vt:lpstr>D1_Vinmin_2</vt:lpstr>
      <vt:lpstr>D1_Vinnom</vt:lpstr>
      <vt:lpstr>D1_Vinnom_2</vt:lpstr>
      <vt:lpstr>D2_Vinmax</vt:lpstr>
      <vt:lpstr>D2_Vinmax_2</vt:lpstr>
      <vt:lpstr>D2_Vinmin</vt:lpstr>
      <vt:lpstr>D2_Vinmin_2</vt:lpstr>
      <vt:lpstr>D2_Vinnom</vt:lpstr>
      <vt:lpstr>D2_Vinnom_2</vt:lpstr>
      <vt:lpstr>Deadtime</vt:lpstr>
      <vt:lpstr>DEMB</vt:lpstr>
      <vt:lpstr>DITHER</vt:lpstr>
      <vt:lpstr>Doff1</vt:lpstr>
      <vt:lpstr>Doff2</vt:lpstr>
      <vt:lpstr>Don_buckboost</vt:lpstr>
      <vt:lpstr>EFF_Ch1</vt:lpstr>
      <vt:lpstr>EFF_Ch2</vt:lpstr>
      <vt:lpstr>Efficiency</vt:lpstr>
      <vt:lpstr>Ext_VCC</vt:lpstr>
      <vt:lpstr>Fcross</vt:lpstr>
      <vt:lpstr>Fcross_Ch2</vt:lpstr>
      <vt:lpstr>Fdither</vt:lpstr>
      <vt:lpstr>Fesr</vt:lpstr>
      <vt:lpstr>Fesr_Ch2</vt:lpstr>
      <vt:lpstr>Fload_u</vt:lpstr>
      <vt:lpstr>Fload_u_Ch2</vt:lpstr>
      <vt:lpstr>Fp_dominant</vt:lpstr>
      <vt:lpstr>Fp_dominant_Ch2</vt:lpstr>
      <vt:lpstr>Fp1_u</vt:lpstr>
      <vt:lpstr>Fp1_u_Ch2</vt:lpstr>
      <vt:lpstr>Fp2_u</vt:lpstr>
      <vt:lpstr>Fp2_u_Ch2</vt:lpstr>
      <vt:lpstr>Fsw</vt:lpstr>
      <vt:lpstr>Fx_infilter</vt:lpstr>
      <vt:lpstr>Fz1_u</vt:lpstr>
      <vt:lpstr>Fz1_u_Ch2</vt:lpstr>
      <vt:lpstr>GBW</vt:lpstr>
      <vt:lpstr>Gfs_Q1</vt:lpstr>
      <vt:lpstr>Gfs_Q2</vt:lpstr>
      <vt:lpstr>gm</vt:lpstr>
      <vt:lpstr>Gop_AEF</vt:lpstr>
      <vt:lpstr>Icoutrms</vt:lpstr>
      <vt:lpstr>Iin_Vinmax</vt:lpstr>
      <vt:lpstr>Iin_Vinmin</vt:lpstr>
      <vt:lpstr>Iin_Vinnom</vt:lpstr>
      <vt:lpstr>Ilimit_DC</vt:lpstr>
      <vt:lpstr>Ilimit2_DC</vt:lpstr>
      <vt:lpstr>INFILTER_TYPE</vt:lpstr>
      <vt:lpstr>Iout</vt:lpstr>
      <vt:lpstr>Iout_OCP_Vinmax</vt:lpstr>
      <vt:lpstr>Iout_OCP_Vinmin</vt:lpstr>
      <vt:lpstr>Iout_OCP_Vinnom</vt:lpstr>
      <vt:lpstr>Iout2_OCP_Vinmax</vt:lpstr>
      <vt:lpstr>Iout2_OCP_Vinmin</vt:lpstr>
      <vt:lpstr>Iout2_OCP_Vinnom</vt:lpstr>
      <vt:lpstr>Iq</vt:lpstr>
      <vt:lpstr>Ireverse</vt:lpstr>
      <vt:lpstr>Iripple_Vinmax</vt:lpstr>
      <vt:lpstr>Iripple_Vinmin</vt:lpstr>
      <vt:lpstr>Iripple_Vinnom</vt:lpstr>
      <vt:lpstr>Iripple2_Vinmax</vt:lpstr>
      <vt:lpstr>Iripple2_Vinmin</vt:lpstr>
      <vt:lpstr>Iripple2_Vinnom</vt:lpstr>
      <vt:lpstr>Iss</vt:lpstr>
      <vt:lpstr>k</vt:lpstr>
      <vt:lpstr>k_buck</vt:lpstr>
      <vt:lpstr>k_Ch2</vt:lpstr>
      <vt:lpstr>L_infilter</vt:lpstr>
      <vt:lpstr>L_infilterStd</vt:lpstr>
      <vt:lpstr>LAEFCom</vt:lpstr>
      <vt:lpstr>Lf</vt:lpstr>
      <vt:lpstr>LinfilterPssv</vt:lpstr>
      <vt:lpstr>Lo_2</vt:lpstr>
      <vt:lpstr>loopPM</vt:lpstr>
      <vt:lpstr>loopxover</vt:lpstr>
      <vt:lpstr>Lopt</vt:lpstr>
      <vt:lpstr>Lopt2</vt:lpstr>
      <vt:lpstr>Ltc</vt:lpstr>
      <vt:lpstr>mc</vt:lpstr>
      <vt:lpstr>mc_buck</vt:lpstr>
      <vt:lpstr>mc_buck_Ch2</vt:lpstr>
      <vt:lpstr>mc_Ch2</vt:lpstr>
      <vt:lpstr>MODE</vt:lpstr>
      <vt:lpstr>nAEF</vt:lpstr>
      <vt:lpstr>No_RT</vt:lpstr>
      <vt:lpstr>Number_of_Phases</vt:lpstr>
      <vt:lpstr>OSC</vt:lpstr>
      <vt:lpstr>Pi</vt:lpstr>
      <vt:lpstr>Pin</vt:lpstr>
      <vt:lpstr>PLOT_TYPE</vt:lpstr>
      <vt:lpstr>pole1</vt:lpstr>
      <vt:lpstr>Pole2</vt:lpstr>
      <vt:lpstr>pole3</vt:lpstr>
      <vt:lpstr>pole4</vt:lpstr>
      <vt:lpstr>Pout</vt:lpstr>
      <vt:lpstr>'BOM &amp; Schematic'!Print_Area</vt:lpstr>
      <vt:lpstr>'Design Regulator'!Print_Area</vt:lpstr>
      <vt:lpstr>pterm1</vt:lpstr>
      <vt:lpstr>pterm2</vt:lpstr>
      <vt:lpstr>pterm3</vt:lpstr>
      <vt:lpstr>pterm4</vt:lpstr>
      <vt:lpstr>Q</vt:lpstr>
      <vt:lpstr>Q_Ch2</vt:lpstr>
      <vt:lpstr>Qg_Q1</vt:lpstr>
      <vt:lpstr>Qg_Q2</vt:lpstr>
      <vt:lpstr>Qgd_Q1</vt:lpstr>
      <vt:lpstr>Qgd_Q2</vt:lpstr>
      <vt:lpstr>Qgs_Q1</vt:lpstr>
      <vt:lpstr>Qgs_Q2</vt:lpstr>
      <vt:lpstr>Qoss_Q1</vt:lpstr>
      <vt:lpstr>Qoss_Q2</vt:lpstr>
      <vt:lpstr>Qrr_Q2</vt:lpstr>
      <vt:lpstr>QrrSky_Q2</vt:lpstr>
      <vt:lpstr>radconv</vt:lpstr>
      <vt:lpstr>Rcea1</vt:lpstr>
      <vt:lpstr>Rcea1_u</vt:lpstr>
      <vt:lpstr>Rcea2</vt:lpstr>
      <vt:lpstr>RCinEsr</vt:lpstr>
      <vt:lpstr>Rcomp_AEF</vt:lpstr>
      <vt:lpstr>RCoutEsr</vt:lpstr>
      <vt:lpstr>Rdamp_AEFstd</vt:lpstr>
      <vt:lpstr>Rdamp_PassiveStd</vt:lpstr>
      <vt:lpstr>RdampCom</vt:lpstr>
      <vt:lpstr>RdampPssv</vt:lpstr>
      <vt:lpstr>RdampSel</vt:lpstr>
      <vt:lpstr>Rdcr</vt:lpstr>
      <vt:lpstr>Rdcr2</vt:lpstr>
      <vt:lpstr>Rdson1</vt:lpstr>
      <vt:lpstr>Rdson2</vt:lpstr>
      <vt:lpstr>RdsonBotTc</vt:lpstr>
      <vt:lpstr>RdsonDRB</vt:lpstr>
      <vt:lpstr>RdsonDRB2</vt:lpstr>
      <vt:lpstr>RdsonDRT</vt:lpstr>
      <vt:lpstr>RdsonDRT2</vt:lpstr>
      <vt:lpstr>RdsonTopTc</vt:lpstr>
      <vt:lpstr>Rfadj</vt:lpstr>
      <vt:lpstr>Rfb1_</vt:lpstr>
      <vt:lpstr>Rfb2_</vt:lpstr>
      <vt:lpstr>Rfb2_u</vt:lpstr>
      <vt:lpstr>Rfb3_</vt:lpstr>
      <vt:lpstr>Rfb4_</vt:lpstr>
      <vt:lpstr>Rfb4_u</vt:lpstr>
      <vt:lpstr>Rfets</vt:lpstr>
      <vt:lpstr>Rff</vt:lpstr>
      <vt:lpstr>Rgate1</vt:lpstr>
      <vt:lpstr>Rgate2</vt:lpstr>
      <vt:lpstr>Ri</vt:lpstr>
      <vt:lpstr>Ri_Ch2</vt:lpstr>
      <vt:lpstr>Ro</vt:lpstr>
      <vt:lpstr>Ro_Ch2</vt:lpstr>
      <vt:lpstr>RoEA</vt:lpstr>
      <vt:lpstr>Rout</vt:lpstr>
      <vt:lpstr>Rout2</vt:lpstr>
      <vt:lpstr>Rpg</vt:lpstr>
      <vt:lpstr>Rs</vt:lpstr>
      <vt:lpstr>Rs_Ch2</vt:lpstr>
      <vt:lpstr>Rs_ideal</vt:lpstr>
      <vt:lpstr>Rs2_ideal</vt:lpstr>
      <vt:lpstr>Sch_AdjVout_ExtComp_AEF</vt:lpstr>
      <vt:lpstr>Sch_AdjVout_ExtComp_nAEF</vt:lpstr>
      <vt:lpstr>Sch_AdjVout_IntComp_AEF</vt:lpstr>
      <vt:lpstr>Sch_AdjVout_IntComp_nAEF</vt:lpstr>
      <vt:lpstr>SCH_MODE</vt:lpstr>
      <vt:lpstr>SCH_SETTING</vt:lpstr>
      <vt:lpstr>Sch_SetVout_ExtComp_AEF</vt:lpstr>
      <vt:lpstr>Sch_SetVout_ExtComp_nAEF</vt:lpstr>
      <vt:lpstr>Sch_SetVout_IntComp_AEF</vt:lpstr>
      <vt:lpstr>Sch_SetVout_IntComp_nAEF</vt:lpstr>
      <vt:lpstr>Se_ext</vt:lpstr>
      <vt:lpstr>Sf</vt:lpstr>
      <vt:lpstr>Sf_Ch2</vt:lpstr>
      <vt:lpstr>SINGLE_OUTPUT</vt:lpstr>
      <vt:lpstr>Sn</vt:lpstr>
      <vt:lpstr>Sn_Ch2</vt:lpstr>
      <vt:lpstr>Ta</vt:lpstr>
      <vt:lpstr>Tf_buck</vt:lpstr>
      <vt:lpstr>Tf_Ch2</vt:lpstr>
      <vt:lpstr>ThetaCa</vt:lpstr>
      <vt:lpstr>ThetaJA_Q1</vt:lpstr>
      <vt:lpstr>ThetaJA_Q2</vt:lpstr>
      <vt:lpstr>ThetaJaCtrl</vt:lpstr>
      <vt:lpstr>TL</vt:lpstr>
      <vt:lpstr>Tr_buck</vt:lpstr>
      <vt:lpstr>Tr_Ch2</vt:lpstr>
      <vt:lpstr>Tres</vt:lpstr>
      <vt:lpstr>Trr_Q1</vt:lpstr>
      <vt:lpstr>Trr_Q2</vt:lpstr>
      <vt:lpstr>Ts</vt:lpstr>
      <vt:lpstr>Tss</vt:lpstr>
      <vt:lpstr>UVLO_TYPE</vt:lpstr>
      <vt:lpstr>VARIANT</vt:lpstr>
      <vt:lpstr>VCC</vt:lpstr>
      <vt:lpstr>VfdSky_Q2</vt:lpstr>
      <vt:lpstr>Vin</vt:lpstr>
      <vt:lpstr>VIN_max</vt:lpstr>
      <vt:lpstr>VIN_MAX_RATING</vt:lpstr>
      <vt:lpstr>VIN_min</vt:lpstr>
      <vt:lpstr>VIN_nom</vt:lpstr>
      <vt:lpstr>VinRipple_dBuV</vt:lpstr>
      <vt:lpstr>Vinripple1</vt:lpstr>
      <vt:lpstr>Vinripple2</vt:lpstr>
      <vt:lpstr>Vo1_ripple</vt:lpstr>
      <vt:lpstr>Vo2_ripple</vt:lpstr>
      <vt:lpstr>Vout</vt:lpstr>
      <vt:lpstr>VOUT_MAX_RATING</vt:lpstr>
      <vt:lpstr>VOUT_setting</vt:lpstr>
      <vt:lpstr>Vout2</vt:lpstr>
      <vt:lpstr>Vref</vt:lpstr>
      <vt:lpstr>Vsd_Q1</vt:lpstr>
      <vt:lpstr>Vsd_Q2</vt:lpstr>
      <vt:lpstr>Vsp_Q1</vt:lpstr>
      <vt:lpstr>Vsp_Q2</vt:lpstr>
      <vt:lpstr>Vth_Q1</vt:lpstr>
      <vt:lpstr>Vth_Q2</vt:lpstr>
      <vt:lpstr>w_fbff</vt:lpstr>
      <vt:lpstr>w_fbffHz</vt:lpstr>
      <vt:lpstr>wfbbHz</vt:lpstr>
      <vt:lpstr>wfbtHz</vt:lpstr>
      <vt:lpstr>wffHz</vt:lpstr>
      <vt:lpstr>wfftHz</vt:lpstr>
      <vt:lpstr>z_RHP</vt:lpstr>
      <vt:lpstr>Zero1</vt:lpstr>
      <vt:lpstr>Zero2</vt:lpstr>
      <vt:lpstr>zterm1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LM5148-Q1 Quickstart Tool</dc:title>
  <dc:creator>Timothy Hegarty;Murray, Orlando</dc:creator>
  <cp:keywords>LM5148-Q1, LM25148-Q1, LM5148, LM25148, PWM controller, current mode, PCB layout</cp:keywords>
  <cp:lastModifiedBy>Gleydura, Madison M.</cp:lastModifiedBy>
  <cp:lastPrinted>2019-05-04T17:54:08Z</cp:lastPrinted>
  <dcterms:created xsi:type="dcterms:W3CDTF">1996-10-14T23:33:28Z</dcterms:created>
  <dcterms:modified xsi:type="dcterms:W3CDTF">2025-03-14T20:46:35Z</dcterms:modified>
</cp:coreProperties>
</file>